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externalLinks/externalLink5.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Ecuador\PPR 2016\"/>
    </mc:Choice>
  </mc:AlternateContent>
  <xr:revisionPtr revIDLastSave="0" documentId="8_{AF1BDE9C-6DA3-4AD2-8D85-B20601C160CE}" xr6:coauthVersionLast="31" xr6:coauthVersionMax="31" xr10:uidLastSave="{00000000-0000-0000-0000-000000000000}"/>
  <bookViews>
    <workbookView xWindow="0" yWindow="0" windowWidth="28800" windowHeight="12440" tabRatio="955" firstSheet="3" activeTab="3" xr2:uid="{00000000-000D-0000-FFFF-FFFF00000000}"/>
  </bookViews>
  <sheets>
    <sheet name="Overview" sheetId="28" r:id="rId1"/>
    <sheet name="FinancialData" sheetId="15" r:id="rId2"/>
    <sheet name="Procurement" sheetId="3" state="hidden" r:id="rId3"/>
    <sheet name="Risk Assesment" sheetId="4" r:id="rId4"/>
    <sheet name="Rating" sheetId="5" r:id="rId5"/>
    <sheet name="Project Indicators" sheetId="8" r:id="rId6"/>
    <sheet name="Results Tracker" sheetId="11" r:id="rId7"/>
    <sheet name="Units for Indicators" sheetId="6" r:id="rId8"/>
    <sheet name="Annex 1 Products" sheetId="12" r:id="rId9"/>
    <sheet name="Annex 2 Measures" sheetId="13" r:id="rId10"/>
    <sheet name="Annex 3 Media" sheetId="21" r:id="rId11"/>
    <sheet name="Annex 4 Lessons learned" sheetId="26" r:id="rId12"/>
    <sheet name="Annex 5 Explanatory Notes " sheetId="27" r:id="rId13"/>
  </sheets>
  <externalReferences>
    <externalReference r:id="rId14"/>
    <externalReference r:id="rId15"/>
    <externalReference r:id="rId16"/>
    <externalReference r:id="rId17"/>
    <externalReference r:id="rId18"/>
  </externalReferences>
  <definedNames>
    <definedName name="iincome" localSheetId="1">#REF!</definedName>
    <definedName name="iincome">#REF!</definedName>
    <definedName name="income" localSheetId="1">#REF!</definedName>
    <definedName name="income" localSheetId="6">#REF!</definedName>
    <definedName name="income">#REF!</definedName>
    <definedName name="incomelevel">#REF!</definedName>
    <definedName name="info">#REF!</definedName>
    <definedName name="Month">[3]Dropdowns!$G$2:$G$13</definedName>
    <definedName name="overalleffect">#REF!</definedName>
    <definedName name="physicalassets">#REF!</definedName>
    <definedName name="_xlnm.Print_Area" localSheetId="1">[1]Hoja2!$J$1:$Q$59</definedName>
    <definedName name="_xlnm.Print_Area" localSheetId="2">[2]Hoja1!$A$1:$I$78</definedName>
    <definedName name="_xlnm.Print_Area" localSheetId="4">Rating!$A$1:$K$74</definedName>
    <definedName name="_xlnm.Print_Area" localSheetId="3">'Risk Assesment'!$A$1:$H$38</definedName>
    <definedName name="quality">#REF!</definedName>
    <definedName name="question">#REF!</definedName>
    <definedName name="responses">#REF!</definedName>
    <definedName name="ss">'[4]Results Tracker'!$G$146:$G$149</definedName>
    <definedName name="state">#REF!</definedName>
    <definedName name="type1" localSheetId="1">'[5]Results Tracker'!$G$146:$G$149</definedName>
    <definedName name="type1">#REF!</definedName>
    <definedName name="Year">[3]Dropdowns!$H$2:$H$36</definedName>
    <definedName name="yesno">#REF!</definedName>
  </definedNames>
  <calcPr calcId="179017"/>
</workbook>
</file>

<file path=xl/calcChain.xml><?xml version="1.0" encoding="utf-8"?>
<calcChain xmlns="http://schemas.openxmlformats.org/spreadsheetml/2006/main">
  <c r="A4" i="21" l="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BB32" i="15" l="1"/>
  <c r="BA32" i="15"/>
  <c r="H48" i="5" l="1"/>
  <c r="F227" i="3" l="1"/>
  <c r="F221" i="3"/>
  <c r="F219" i="3"/>
  <c r="F217" i="3"/>
  <c r="F211" i="3"/>
  <c r="F209" i="3"/>
  <c r="F200" i="3"/>
  <c r="F199" i="3"/>
  <c r="F189" i="3"/>
  <c r="F188" i="3"/>
  <c r="F187" i="3"/>
  <c r="F183" i="3"/>
  <c r="F179" i="3"/>
  <c r="F173" i="3"/>
  <c r="F171" i="3"/>
  <c r="F162" i="3"/>
  <c r="E161" i="3"/>
  <c r="E160" i="3"/>
  <c r="E159" i="3"/>
  <c r="E158" i="3"/>
  <c r="E157" i="3"/>
  <c r="E156" i="3"/>
  <c r="E155" i="3"/>
  <c r="F153" i="3"/>
  <c r="F152" i="3"/>
  <c r="F147" i="3"/>
  <c r="F146" i="3"/>
  <c r="E144" i="3"/>
  <c r="F143" i="3"/>
  <c r="E143" i="3"/>
  <c r="E142" i="3"/>
  <c r="E141" i="3"/>
  <c r="E140" i="3"/>
  <c r="F139" i="3"/>
  <c r="E138" i="3"/>
  <c r="E137" i="3"/>
  <c r="F137" i="3" s="1"/>
  <c r="E135" i="3"/>
  <c r="E134" i="3"/>
  <c r="E133" i="3"/>
  <c r="F132" i="3"/>
  <c r="G33" i="3"/>
  <c r="H33" i="3" s="1"/>
  <c r="G31" i="3"/>
  <c r="F130" i="3" s="1"/>
  <c r="E130" i="3"/>
  <c r="E129" i="3"/>
  <c r="E128" i="3"/>
  <c r="E127" i="3"/>
  <c r="F124" i="3"/>
  <c r="G66" i="3"/>
  <c r="G65" i="3"/>
  <c r="G64" i="3"/>
  <c r="G63" i="3"/>
  <c r="G62" i="3"/>
  <c r="G61" i="3"/>
  <c r="H61" i="3" s="1"/>
  <c r="G60" i="3"/>
  <c r="G59" i="3"/>
  <c r="G58" i="3"/>
  <c r="H58" i="3" s="1"/>
  <c r="G57" i="3"/>
  <c r="G56" i="3"/>
  <c r="H56" i="3"/>
  <c r="G55" i="3"/>
  <c r="G54" i="3"/>
  <c r="H54" i="3" s="1"/>
  <c r="G53" i="3"/>
  <c r="H53" i="3" s="1"/>
  <c r="G52" i="3"/>
  <c r="H52" i="3" s="1"/>
  <c r="G51" i="3"/>
  <c r="H51" i="3" s="1"/>
  <c r="G50" i="3"/>
  <c r="H50" i="3" s="1"/>
  <c r="G49" i="3"/>
  <c r="G48" i="3"/>
  <c r="G47" i="3"/>
  <c r="H47" i="3" s="1"/>
  <c r="G46" i="3"/>
  <c r="H46" i="3" s="1"/>
  <c r="G45" i="3"/>
  <c r="H45" i="3" s="1"/>
  <c r="G44" i="3"/>
  <c r="G43" i="3"/>
  <c r="G42" i="3"/>
  <c r="G41" i="3"/>
  <c r="G40" i="3"/>
  <c r="H40" i="3" s="1"/>
  <c r="G39" i="3"/>
  <c r="G38" i="3"/>
  <c r="G37" i="3"/>
  <c r="G36" i="3"/>
  <c r="H36" i="3" s="1"/>
  <c r="G35" i="3"/>
  <c r="G34" i="3"/>
  <c r="F127" i="3" s="1"/>
  <c r="G32" i="3"/>
  <c r="H32" i="3" s="1"/>
  <c r="G30" i="3"/>
  <c r="H30" i="3" s="1"/>
  <c r="G29" i="3"/>
  <c r="H29" i="3"/>
  <c r="H28" i="3"/>
  <c r="H27" i="3"/>
  <c r="H26" i="3"/>
  <c r="H25" i="3"/>
  <c r="H24" i="3"/>
  <c r="H23" i="3"/>
  <c r="H22" i="3"/>
  <c r="H21" i="3"/>
  <c r="H20" i="3"/>
  <c r="H19" i="3"/>
  <c r="H18" i="3"/>
  <c r="H17" i="3"/>
  <c r="J69" i="13"/>
  <c r="D14" i="27"/>
  <c r="F14" i="27" s="1"/>
  <c r="D15" i="27"/>
  <c r="H20" i="27"/>
  <c r="F20" i="27"/>
  <c r="H19" i="27"/>
  <c r="F19" i="27"/>
  <c r="H18" i="27"/>
  <c r="F18" i="27"/>
  <c r="H17" i="27"/>
  <c r="F17" i="27"/>
  <c r="H16" i="27"/>
  <c r="F16" i="27"/>
  <c r="H15" i="27"/>
  <c r="F15" i="27"/>
  <c r="E14" i="27"/>
  <c r="H14" i="27"/>
  <c r="H13" i="27"/>
  <c r="F13" i="27"/>
  <c r="H12" i="27"/>
  <c r="F12" i="27"/>
  <c r="H11" i="27"/>
  <c r="F11" i="27"/>
  <c r="H10" i="27"/>
  <c r="F10" i="27"/>
  <c r="H9" i="27"/>
  <c r="F9" i="27"/>
  <c r="H8" i="27"/>
  <c r="F8" i="27"/>
  <c r="E21" i="27"/>
  <c r="AE62" i="15"/>
  <c r="AD62" i="15"/>
  <c r="O51" i="15"/>
  <c r="F51" i="15"/>
  <c r="AP35" i="15"/>
  <c r="AO9" i="15" s="1"/>
  <c r="AS9" i="15" s="1"/>
  <c r="AO7" i="15"/>
  <c r="AG35" i="15"/>
  <c r="AF9" i="15" s="1"/>
  <c r="AJ9" i="15" s="1"/>
  <c r="X32" i="15"/>
  <c r="AV32" i="15"/>
  <c r="AU31" i="15"/>
  <c r="AW31" i="15" s="1"/>
  <c r="AZ30" i="15"/>
  <c r="F30" i="15"/>
  <c r="AU30" i="15" s="1"/>
  <c r="AW30" i="15" s="1"/>
  <c r="AX30" i="15" s="1"/>
  <c r="AZ29" i="15"/>
  <c r="AU29" i="15"/>
  <c r="AW29" i="15"/>
  <c r="AX29" i="15"/>
  <c r="AU28" i="15"/>
  <c r="AW28" i="15" s="1"/>
  <c r="AX28" i="15" s="1"/>
  <c r="O27" i="15"/>
  <c r="O32" i="15"/>
  <c r="N9" i="15" s="1"/>
  <c r="R9" i="15" s="1"/>
  <c r="F27" i="15"/>
  <c r="AU26" i="15"/>
  <c r="AW26" i="15"/>
  <c r="AX26" i="15"/>
  <c r="AZ25" i="15"/>
  <c r="F25" i="15"/>
  <c r="AU25" i="15"/>
  <c r="AW25" i="15"/>
  <c r="AX25" i="15" s="1"/>
  <c r="AZ24" i="15"/>
  <c r="F24" i="15"/>
  <c r="AU24" i="15"/>
  <c r="AW24" i="15" s="1"/>
  <c r="AX24" i="15" s="1"/>
  <c r="F23" i="15"/>
  <c r="AU23" i="15"/>
  <c r="AW23" i="15" s="1"/>
  <c r="AX23" i="15" s="1"/>
  <c r="AZ22" i="15"/>
  <c r="F22" i="15"/>
  <c r="AU22" i="15" s="1"/>
  <c r="AW22" i="15" s="1"/>
  <c r="AX22" i="15" s="1"/>
  <c r="AZ21" i="15"/>
  <c r="F21" i="15"/>
  <c r="AU21" i="15"/>
  <c r="AW21" i="15"/>
  <c r="AX21" i="15"/>
  <c r="AZ20" i="15"/>
  <c r="F20" i="15"/>
  <c r="AU20" i="15"/>
  <c r="AW20" i="15"/>
  <c r="AX20" i="15" s="1"/>
  <c r="F19" i="15"/>
  <c r="F18" i="15"/>
  <c r="F32" i="15"/>
  <c r="F33" i="15" s="1"/>
  <c r="AZ18" i="15"/>
  <c r="AU18" i="15"/>
  <c r="AW18" i="15"/>
  <c r="AX18" i="15" s="1"/>
  <c r="AZ17" i="15"/>
  <c r="AU17" i="15"/>
  <c r="AW17" i="15" s="1"/>
  <c r="AF7" i="15"/>
  <c r="W7" i="15"/>
  <c r="AA9" i="15"/>
  <c r="E9" i="15"/>
  <c r="I9" i="15"/>
  <c r="N7" i="15"/>
  <c r="U58" i="15"/>
  <c r="V58" i="15" s="1"/>
  <c r="AU19" i="15"/>
  <c r="AW19" i="15" s="1"/>
  <c r="AX19" i="15" s="1"/>
  <c r="AU27" i="15"/>
  <c r="AW27" i="15" s="1"/>
  <c r="AX27" i="15" s="1"/>
  <c r="P51" i="11"/>
  <c r="R21" i="11"/>
  <c r="Q21" i="11"/>
  <c r="M21" i="11"/>
  <c r="G62" i="13"/>
  <c r="G63" i="13" s="1"/>
  <c r="F62" i="13"/>
  <c r="G47" i="13"/>
  <c r="F47" i="13"/>
  <c r="F63" i="13" s="1"/>
  <c r="H35" i="5"/>
  <c r="H38" i="5"/>
  <c r="H37" i="5"/>
  <c r="H36" i="5"/>
  <c r="H39" i="5"/>
  <c r="F47" i="5"/>
  <c r="F46" i="5"/>
  <c r="F45" i="5"/>
  <c r="F44" i="5"/>
  <c r="F43" i="5"/>
  <c r="F42" i="5"/>
  <c r="F40" i="5"/>
  <c r="F39" i="5"/>
  <c r="F35" i="5"/>
  <c r="D37" i="5"/>
  <c r="D38" i="5"/>
  <c r="D39" i="5"/>
  <c r="D40" i="5"/>
  <c r="H40" i="5"/>
  <c r="D41" i="5"/>
  <c r="H41" i="5"/>
  <c r="D42" i="5"/>
  <c r="H42" i="5"/>
  <c r="D43" i="5"/>
  <c r="H43" i="5"/>
  <c r="D44" i="5"/>
  <c r="H44" i="5"/>
  <c r="D45" i="5"/>
  <c r="H45" i="5"/>
  <c r="D46" i="5"/>
  <c r="H46" i="5"/>
  <c r="D47" i="5"/>
  <c r="H47" i="5"/>
  <c r="D48" i="5"/>
  <c r="D36" i="5"/>
  <c r="D35" i="5"/>
  <c r="AX17" i="15" l="1"/>
  <c r="AW32" i="15"/>
  <c r="AZ32" i="15"/>
  <c r="F21" i="27"/>
  <c r="AZ31" i="15"/>
  <c r="AX31" i="15"/>
  <c r="AU32" i="15"/>
  <c r="O33" i="15"/>
  <c r="X34" i="15"/>
  <c r="D21" i="27"/>
  <c r="E131" i="3"/>
  <c r="F131" i="3" s="1"/>
  <c r="H34" i="3"/>
  <c r="H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GALARZA Carmen</author>
    <author>Veronica Alvarado</author>
  </authors>
  <commentList>
    <comment ref="E7" authorId="0" shapeId="0" xr:uid="{00000000-0006-0000-0100-000001000000}">
      <text>
        <r>
          <rPr>
            <b/>
            <sz val="9"/>
            <color indexed="81"/>
            <rFont val="Tahoma"/>
            <family val="2"/>
          </rPr>
          <t>GALARZA Carmen:</t>
        </r>
        <r>
          <rPr>
            <sz val="9"/>
            <color indexed="81"/>
            <rFont val="Tahoma"/>
            <family val="2"/>
          </rPr>
          <t xml:space="preserve">
Total amount without considering MIE Fee </t>
        </r>
      </text>
    </comment>
    <comment ref="N7" authorId="1" shapeId="0" xr:uid="{00000000-0006-0000-0100-000002000000}">
      <text>
        <r>
          <rPr>
            <b/>
            <sz val="8"/>
            <color indexed="81"/>
            <rFont val="Tahoma"/>
            <family val="2"/>
          </rPr>
          <t>Veronica Alvarado:</t>
        </r>
        <r>
          <rPr>
            <sz val="8"/>
            <color indexed="81"/>
            <rFont val="Tahoma"/>
            <family val="2"/>
          </rPr>
          <t xml:space="preserve">
Not considering MIE Fee</t>
        </r>
      </text>
    </comment>
    <comment ref="W7" authorId="1" shapeId="0" xr:uid="{00000000-0006-0000-0100-000003000000}">
      <text>
        <r>
          <rPr>
            <b/>
            <sz val="8"/>
            <color indexed="81"/>
            <rFont val="Tahoma"/>
            <family val="2"/>
          </rPr>
          <t>Veronica Alvarado:</t>
        </r>
        <r>
          <rPr>
            <sz val="8"/>
            <color indexed="81"/>
            <rFont val="Tahoma"/>
            <family val="2"/>
          </rPr>
          <t xml:space="preserve">
Not considering MIE Fee</t>
        </r>
      </text>
    </comment>
    <comment ref="AF7" authorId="1" shapeId="0" xr:uid="{00000000-0006-0000-0100-000004000000}">
      <text>
        <r>
          <rPr>
            <b/>
            <sz val="8"/>
            <color indexed="81"/>
            <rFont val="Tahoma"/>
            <family val="2"/>
          </rPr>
          <t>Veronica Alvarado:</t>
        </r>
        <r>
          <rPr>
            <sz val="8"/>
            <color indexed="81"/>
            <rFont val="Tahoma"/>
            <family val="2"/>
          </rPr>
          <t xml:space="preserve">
Not considering MIE Fee</t>
        </r>
      </text>
    </comment>
    <comment ref="AO7" authorId="1" shapeId="0" xr:uid="{00000000-0006-0000-0100-000005000000}">
      <text>
        <r>
          <rPr>
            <b/>
            <sz val="8"/>
            <color indexed="81"/>
            <rFont val="Tahoma"/>
            <family val="2"/>
          </rPr>
          <t>Veronica Alvarado:</t>
        </r>
        <r>
          <rPr>
            <sz val="8"/>
            <color indexed="81"/>
            <rFont val="Tahoma"/>
            <family val="2"/>
          </rPr>
          <t xml:space="preserve">
Not considering MIE Fee</t>
        </r>
      </text>
    </comment>
  </commentList>
</comments>
</file>

<file path=xl/sharedStrings.xml><?xml version="1.0" encoding="utf-8"?>
<sst xmlns="http://schemas.openxmlformats.org/spreadsheetml/2006/main" count="3134" uniqueCount="1457">
  <si>
    <t>Project Performance Report (PPR)</t>
  </si>
  <si>
    <t>Period of Report (Dates)</t>
  </si>
  <si>
    <t>December 2015 to December 2016</t>
  </si>
  <si>
    <t xml:space="preserve">Project Title: </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</si>
  <si>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</si>
  <si>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</si>
  <si>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</si>
  <si>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</si>
  <si>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</si>
  <si>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</si>
  <si>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</si>
  <si>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</si>
  <si>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</si>
  <si>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</si>
  <si>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</si>
  <si>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</si>
  <si>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</si>
  <si>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</si>
  <si>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</si>
  <si>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</si>
  <si>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</si>
  <si>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</si>
  <si>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Word Food Programme (WFP)</t>
  </si>
  <si>
    <t>Albania</t>
  </si>
  <si>
    <t>MSP</t>
  </si>
  <si>
    <t>No</t>
  </si>
  <si>
    <t>Climate Change Adaptation</t>
  </si>
  <si>
    <t>S</t>
  </si>
  <si>
    <t>BD-SP2-Marine PA</t>
  </si>
  <si>
    <t>2: Coastal, marine &amp; freshwater ecosystems</t>
  </si>
  <si>
    <t>Type of IE:</t>
  </si>
  <si>
    <t>Multilateral</t>
  </si>
  <si>
    <t>Algeria</t>
  </si>
  <si>
    <t>EA</t>
  </si>
  <si>
    <t>Climate Change Mitigation</t>
  </si>
  <si>
    <t>MU</t>
  </si>
  <si>
    <t>BD-SP3-PA Networks</t>
  </si>
  <si>
    <t>3: Forest ecosystems</t>
  </si>
  <si>
    <t xml:space="preserve">Country(ies): </t>
  </si>
  <si>
    <t>Ecuador</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</si>
  <si>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</si>
  <si>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</si>
  <si>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</si>
  <si>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</si>
  <si>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</si>
  <si>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</si>
  <si>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</si>
  <si>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</si>
  <si>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</si>
  <si>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</si>
  <si>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</si>
  <si>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</si>
  <si>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</si>
  <si>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</si>
  <si>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</si>
  <si>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</si>
  <si>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</si>
  <si>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</si>
  <si>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</si>
  <si>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</si>
  <si>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March 18, 2011</t>
  </si>
  <si>
    <t>IE-AFB Agreement Signature Date:</t>
  </si>
  <si>
    <t>July 2011</t>
  </si>
  <si>
    <t>CC-SP6-LULUCF</t>
  </si>
  <si>
    <t>12: Integrated Ecosystem Management</t>
  </si>
  <si>
    <t>Start of Project/Programme:</t>
  </si>
  <si>
    <t>November 29, 2011</t>
  </si>
  <si>
    <t>Cross cutting capacity building</t>
  </si>
  <si>
    <t>14: Persistent Organic Pollutants</t>
  </si>
  <si>
    <t>Mid-term Review Date (if planned):</t>
  </si>
  <si>
    <t>March -June 2015</t>
  </si>
  <si>
    <t>Terminal Evaluation Date:</t>
  </si>
  <si>
    <t>May 2018</t>
  </si>
  <si>
    <t>List documents/ reports/ brochures / articles that have been prepared about the project.</t>
  </si>
  <si>
    <t>Cyprus</t>
  </si>
  <si>
    <t xml:space="preserve">- Inception Report, delivered to the AF, May 2012
- Project Annual Report 2012, delivered to the AF, November 2012
- Project Annual Report 2013, delivered to the AF, November 2013
- Project Annual Report 2014, delivered to the AF, January 2015
- Project Mid-Term Review Report delivered to AF, October 2015
- Project Annual Report 2015, delivered to the AF, February 2016
- Project Annual Report 2016, delivered to the AF, January 2017
- Building Resilience: Bridging Food Security, Climate Change Adaptation and Disaster Risk Reduction, WFP paper, November 2011 (http://reliefweb.int/sites/reliefweb.int/files/resources/Workshop%20Building%20Resilience%20-%20Case%20Studies%20Overview%20-%20final%20draft.pdf)
- Landscapes for People, Food and Nature Initiative, March 2012 (http://blog.ecoagriculture.org/2012/03/02/community-action-for-food-security-and-resilience-2/)
- WFP Annual Report 2011(May 2012); 2012 (September 2012); 2013 (June 2014); 2014 (May 2015); 2015 (June 2016)
- SETECI (National Secretary of International Cooperation) Report, October 2012
- WFP-MAE: Case Study for the Climate and Hunger Conference in Dublin, April 2013 (http://www.dci.gov.ie/what-we-do/dublin-conference/conference-documents/); MAE webpage (http://web.ambiente.gob.ec/?q=node/878&amp;page=0,3)
- WFP webpage (http://www.wfp.org/countries/ecuador/operations) and WFP monthly executive brief
- Steering Committee Bylaws and Project Operational Manual, August 2013
- Two pager FORECCSA Project, WFP, first issue: November 2014 (updated quarterly, last update October 2016)
- Four pager FORECCSA Project, WFP, first issue: October 2015 (updated quarterly, last update October 2016)
- Book "Plantas de la Cordillera Andina," June 2014
- Annex 1 List of products developed within this project.
- Annex 3 Press releases during project execution and media and communication material 2016.
- Testimonial video of FORECCSA project were shown in the COP 22 Marrakesh by the Minister of Environment, November 2016. 
- Presentation of FORECCSA project in aside event within COP 22 Marrakesh: Sustainable Innovation Forum, 14th of November 2016 (https://www.youtube.com/watch?v=AGdG0c2hv8M)
</t>
  </si>
  <si>
    <t>Czech Republic</t>
  </si>
  <si>
    <t>List the Website address (URL) of project.</t>
  </si>
  <si>
    <t>Democratic People's Republic of Korea</t>
  </si>
  <si>
    <t>n/a</t>
  </si>
  <si>
    <t>Democratic Republic of the Congo</t>
  </si>
  <si>
    <t>Denmark</t>
  </si>
  <si>
    <t xml:space="preserve">Project contacts:  </t>
  </si>
  <si>
    <t>Djibouti</t>
  </si>
  <si>
    <t>National Project Manager/Coordinator</t>
  </si>
  <si>
    <t>Dominica</t>
  </si>
  <si>
    <t xml:space="preserve">Name: </t>
  </si>
  <si>
    <t>Javier Rojas, Project Manager</t>
  </si>
  <si>
    <t>Dominican Republic</t>
  </si>
  <si>
    <t xml:space="preserve">Email: </t>
  </si>
  <si>
    <t>julio.rojas@ambiente.gob.ec</t>
  </si>
  <si>
    <t xml:space="preserve">Date: </t>
  </si>
  <si>
    <t>Egypt</t>
  </si>
  <si>
    <t>Government DA</t>
  </si>
  <si>
    <t>El Salvador</t>
  </si>
  <si>
    <t>Walter García, Minister.</t>
  </si>
  <si>
    <t>Equatoral Guinea</t>
  </si>
  <si>
    <t>walter.garcia@ambiente.gob.ec</t>
  </si>
  <si>
    <t>Eritrea</t>
  </si>
  <si>
    <t>Estonia</t>
  </si>
  <si>
    <t>Implementing Entity</t>
  </si>
  <si>
    <t>Ethiopia</t>
  </si>
  <si>
    <t>Kyungnan Park, Country Director</t>
  </si>
  <si>
    <t>Fiji</t>
  </si>
  <si>
    <t>kyungnan.park@wfp.org</t>
  </si>
  <si>
    <t>Finland</t>
  </si>
  <si>
    <t>France</t>
  </si>
  <si>
    <t>Executing Agency</t>
  </si>
  <si>
    <t>Gambia</t>
  </si>
  <si>
    <t>Diego Guzman, National Director of Climate Change Adaptation</t>
  </si>
  <si>
    <t>Georgia</t>
  </si>
  <si>
    <t>diegog.guzman@ambiente.gob.ec</t>
  </si>
  <si>
    <t>Germany</t>
  </si>
  <si>
    <t>Ghana</t>
  </si>
  <si>
    <t>Greece</t>
  </si>
  <si>
    <t>Javier Ponce, Ministry of Agriculture</t>
  </si>
  <si>
    <t>Grenada</t>
  </si>
  <si>
    <t>jponce@magap.gob.ec</t>
  </si>
  <si>
    <t>Guatemala</t>
  </si>
  <si>
    <t>Guinea</t>
  </si>
  <si>
    <t>Gustavo Baroja, Prefect of the Autonomous Government of the Pichincha Province</t>
  </si>
  <si>
    <t>gbaroja@pichincha.gob.ec</t>
  </si>
  <si>
    <t>Guinea Bissau</t>
  </si>
  <si>
    <t>Guyana</t>
  </si>
  <si>
    <t>dianapl71@hotmail.com</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</si>
  <si>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</si>
  <si>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</si>
  <si>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</si>
  <si>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</si>
  <si>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</si>
  <si>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</si>
  <si>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</si>
  <si>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</si>
  <si>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</si>
  <si>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</si>
  <si>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</si>
  <si>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</si>
  <si>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</si>
  <si>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</si>
  <si>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</si>
  <si>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</si>
  <si>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</si>
  <si>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</si>
  <si>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</si>
  <si>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</si>
  <si>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</si>
  <si>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</si>
  <si>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</si>
  <si>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</si>
  <si>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</si>
  <si>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</si>
  <si>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</si>
  <si>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</si>
  <si>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</si>
  <si>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</si>
  <si>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</si>
  <si>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</si>
  <si>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</si>
  <si>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</si>
  <si>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</si>
  <si>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</si>
  <si>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</si>
  <si>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</si>
  <si>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</si>
  <si>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</si>
  <si>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</si>
  <si>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</si>
  <si>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</si>
  <si>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</si>
  <si>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</si>
  <si>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</si>
  <si>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</si>
  <si>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</si>
  <si>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</si>
  <si>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</si>
  <si>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</si>
  <si>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</si>
  <si>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</si>
  <si>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</si>
  <si>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</si>
  <si>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</si>
  <si>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</si>
  <si>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</si>
  <si>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</si>
  <si>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</si>
  <si>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</si>
  <si>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</si>
  <si>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</si>
  <si>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</si>
  <si>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</si>
  <si>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</si>
  <si>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</si>
  <si>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</si>
  <si>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</si>
  <si>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</si>
  <si>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</si>
  <si>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</si>
  <si>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</si>
  <si>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</si>
  <si>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</si>
  <si>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</si>
  <si>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</si>
  <si>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</si>
  <si>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</si>
  <si>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</si>
  <si>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</si>
  <si>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</si>
  <si>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</si>
  <si>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</si>
  <si>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</si>
  <si>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</si>
  <si>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</si>
  <si>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</si>
  <si>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</si>
  <si>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</si>
  <si>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</si>
  <si>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</si>
  <si>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</si>
  <si>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</si>
  <si>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</si>
  <si>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</si>
  <si>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</si>
  <si>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</si>
  <si>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</si>
  <si>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</si>
  <si>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</si>
  <si>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</si>
  <si>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</si>
  <si>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</si>
  <si>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</si>
  <si>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</si>
  <si>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</si>
  <si>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</si>
  <si>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</si>
  <si>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</si>
  <si>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</si>
  <si>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</si>
  <si>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</si>
  <si>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</si>
  <si>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</si>
  <si>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</si>
  <si>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</si>
  <si>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</si>
  <si>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</si>
  <si>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</si>
  <si>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December 2016</t>
  </si>
  <si>
    <t>Financial information:  cumulative from project start to December 2015</t>
  </si>
  <si>
    <t>Financial information:  cumulative from project start to December 2014</t>
  </si>
  <si>
    <t>Financial information:  cumulative from project start to December 2013</t>
  </si>
  <si>
    <t>Financial information:  cumulative from project start to December 2012</t>
  </si>
  <si>
    <t xml:space="preserve">DISBURSEMENT OF AF GRANT FUNDS </t>
  </si>
  <si>
    <t>How much of the total AF grant as noted in Project Document plus any project preparation grant has been spent to date?</t>
  </si>
  <si>
    <r>
      <t>Estimated cumulative total disbursement as of</t>
    </r>
    <r>
      <rPr>
        <b/>
        <sz val="11"/>
        <color indexed="10"/>
        <rFont val="Times New Roman"/>
        <family val="1"/>
      </rPr>
      <t xml:space="preserve"> </t>
    </r>
    <r>
      <rPr>
        <b/>
        <sz val="11"/>
        <rFont val="Times New Roman"/>
        <family val="1"/>
      </rPr>
      <t>December 2016</t>
    </r>
  </si>
  <si>
    <r>
      <t>Estimated cumulative total disbursement as of</t>
    </r>
    <r>
      <rPr>
        <b/>
        <sz val="11"/>
        <color indexed="10"/>
        <rFont val="Times New Roman"/>
        <family val="1"/>
      </rPr>
      <t xml:space="preserve"> </t>
    </r>
    <r>
      <rPr>
        <b/>
        <sz val="11"/>
        <rFont val="Times New Roman"/>
        <family val="1"/>
      </rPr>
      <t>December 2015</t>
    </r>
  </si>
  <si>
    <t>Estimated cumulative total disbursement as of November 2014</t>
  </si>
  <si>
    <t>Estimated cumulative total disbursement as of November 2013</t>
  </si>
  <si>
    <t>Estimated cumulative total disbursement as of November 2012</t>
  </si>
  <si>
    <t>Add any comments on AF Grant Funds. (word limit=200)</t>
  </si>
  <si>
    <t>Under a harmonized approach to cash transfers (HACT), this amount includes only expenses made by: a) WFP on behalf of MAE - executing agency, b) MAE as national executing agency; c) CCRJ as local executing partner; and d) GAD PP as local executing partner.
The amount of $4,304,646 is an accumulative expense amount up to December 31st, 2016 and represents 68% of actual disbursement of AF. The amount for 2016 (January to December) is US$ 2,033,693.40.</t>
  </si>
  <si>
    <r>
      <t xml:space="preserve">Under a harmonized approach to cash transfers (HACT), this amount includes only expenses made by: a) WFP on behalf of MAE - executing agency, b) MAE as national executing agency; c) CCRJ as local executing partner; and d) GAD PP as local executing partner.
The amount of $ </t>
    </r>
    <r>
      <rPr>
        <sz val="11"/>
        <color rgb="FFFF0000"/>
        <rFont val="Times New Roman"/>
        <family val="1"/>
      </rPr>
      <t>2.270.953</t>
    </r>
    <r>
      <rPr>
        <sz val="11"/>
        <color indexed="8"/>
        <rFont val="Times New Roman"/>
        <family val="1"/>
      </rPr>
      <t xml:space="preserve"> is an accumulative expense amount up to December 31st, 2015 and represents 52% of actual disbursement of AF. The amount for 2015 (January to December) is US$ </t>
    </r>
    <r>
      <rPr>
        <sz val="11"/>
        <color rgb="FFFF0000"/>
        <rFont val="Times New Roman"/>
        <family val="1"/>
      </rPr>
      <t>853.840,13</t>
    </r>
    <r>
      <rPr>
        <sz val="11"/>
        <color indexed="8"/>
        <rFont val="Times New Roman"/>
        <family val="1"/>
      </rPr>
      <t xml:space="preserve">
 </t>
    </r>
  </si>
  <si>
    <t xml:space="preserve">Under a harmonized approach to cash transfers (HACT), this amount includes all and only expenses made by: a) WFP on behalf of MAE - executing agency, b) MAE as national executing agency; c) CCRJ as local executing partner; and d) GAD PP as local executing partner.
The figures of 2013 are amended according actual expenditures. Commitments reported on PPR 2013 are now decreased.
The amount of $ 1,417.113,05 is an accumulative expense amount up to December 31st, 2014. The amount for 2014 (January to December 2014) is US$ 563.446,72
For 2015 indicative budget, the adjustments to the logical framework are included. Some values budgeted are already committed ($491.525,00) through contracts and agreements signed. </t>
  </si>
  <si>
    <r>
      <t xml:space="preserve">Under a harmonized approach to cash transfers (HACT), this amount includes </t>
    </r>
    <r>
      <rPr>
        <u/>
        <sz val="11"/>
        <rFont val="Times New Roman"/>
        <family val="1"/>
      </rPr>
      <t>only expenses</t>
    </r>
    <r>
      <rPr>
        <sz val="11"/>
        <rFont val="Times New Roman"/>
        <family val="1"/>
      </rPr>
      <t xml:space="preserve"> made by: a) WFP on behalf of MAE - executing agency, b) MAE as national executing agency; c) CCRJ as local executing partner; and d) GAD PP as local executing partner.
</t>
    </r>
    <r>
      <rPr>
        <b/>
        <sz val="11"/>
        <rFont val="Times New Roman"/>
        <family val="1"/>
      </rPr>
      <t>The amount of 853.666,33 is an accumulative amount up to date. The amount for 2013 is $ 561.018,73</t>
    </r>
  </si>
  <si>
    <r>
      <t xml:space="preserve">Under harmonized approach to cash transfer (HACT), this amount includes </t>
    </r>
    <r>
      <rPr>
        <u/>
        <sz val="11"/>
        <rFont val="Times New Roman"/>
        <family val="1"/>
      </rPr>
      <t>only expenses</t>
    </r>
    <r>
      <rPr>
        <sz val="11"/>
        <rFont val="Times New Roman"/>
        <family val="1"/>
      </rPr>
      <t xml:space="preserve"> made by: a) WFP on behalf of MAE - executing agency and b) MAE as national executing agency.</t>
    </r>
  </si>
  <si>
    <t xml:space="preserve">INVESTMENT INCOME </t>
  </si>
  <si>
    <t>Amount of annual investment income generated from the Adaptation Fund’s grant</t>
  </si>
  <si>
    <t>EXPENDITURE DATA</t>
  </si>
  <si>
    <t>List output and corresponding amount spent for the current reporting period</t>
  </si>
  <si>
    <t>ITEM / ACTIVITY / ACTION</t>
  </si>
  <si>
    <t>AMOUNT</t>
  </si>
  <si>
    <t>Gasto acumulado</t>
  </si>
  <si>
    <t>Total presupuesto del proyecto</t>
  </si>
  <si>
    <t>Saldo ejecución</t>
  </si>
  <si>
    <t>POA 2017</t>
  </si>
  <si>
    <t>POA 2018</t>
  </si>
  <si>
    <t>1.1.1. Parishes in targeted cantons trained in climate change threats and adaptation measures which reduce vulnerability, in particular related to food security</t>
  </si>
  <si>
    <t>1.1.1</t>
  </si>
  <si>
    <t>ok.</t>
  </si>
  <si>
    <t>1.1.2. Targeted parishes participate in adaptation and risk reduction awareness activities</t>
  </si>
  <si>
    <t>1.1.2</t>
  </si>
  <si>
    <t>1.1.3. Food security and gender considerations integrated in all adaptation training programs</t>
  </si>
  <si>
    <t>1.1.3</t>
  </si>
  <si>
    <t>1.2.1.  Local adaptation plans developed to reduce vulnerabilities to climate change induced food insecurity in targeted areas</t>
  </si>
  <si>
    <t>1.2.1. Parish adaptation plans developed to reduce vulnerabilities to climate change induced food insecurity in targeted areas</t>
  </si>
  <si>
    <t>1.2.1</t>
  </si>
  <si>
    <t>1.2.2. Community participation in processes to develop adaptation plans in targeted parishes</t>
  </si>
  <si>
    <t>1.2.2</t>
  </si>
  <si>
    <t>1.2.3. Agreements developed and signed among targeted parishes, GADPP or CCRJ, MAE and WFP to implement adaptation actions</t>
  </si>
  <si>
    <t>1.2.3. Agreements developed and signed among targeted parishes, GPP or CCRJ, MAE and WFP to implement adaptation actions</t>
  </si>
  <si>
    <t>1.2.3</t>
  </si>
  <si>
    <t>1.2.4. Women participated in processes and decision making to develop adaptation plans</t>
  </si>
  <si>
    <t>1.2.4</t>
  </si>
  <si>
    <t>1.3.1. A climatic information system, including monitoring of climatic events, designed and implemented in each targeted areas in accordance with local context</t>
  </si>
  <si>
    <t>1.3.1. Community early warning system designed, implemented and maintained</t>
  </si>
  <si>
    <t>1.3.1</t>
  </si>
  <si>
    <t>1.3.2. Monitoring system to track project results and lessons learned</t>
  </si>
  <si>
    <t>1.3.2. Monitoring system in place to track climate events in targeted parishes</t>
  </si>
  <si>
    <t>1.3.2</t>
  </si>
  <si>
    <t>2.1.1. Concrete adaptation measures based on parish adaptation plans are designed</t>
  </si>
  <si>
    <t>1.3.3. Monitoring system to track project results and lessons learned</t>
  </si>
  <si>
    <t>2.1.1</t>
  </si>
  <si>
    <t>2.1.2. Adaptation to climate change measures (physical assets, natural assets and technologies) are implemented according with the parishes adaptation plans</t>
  </si>
  <si>
    <t>2.1.2</t>
  </si>
  <si>
    <t>2.1.3. Implementation strategy includes approach for the use of incentives</t>
  </si>
  <si>
    <t>2.1.2. Physical assets created, improved or maintained</t>
  </si>
  <si>
    <t>2.1.3</t>
  </si>
  <si>
    <t>2.2.1. Community participation, in particular of women, guide decision making processes for project execution</t>
  </si>
  <si>
    <t>2.1.3. Natural resources assets created, improved or maintained</t>
  </si>
  <si>
    <t>2.2.1</t>
  </si>
  <si>
    <t>2.2.2. Parishes share success stories and lessons learned</t>
  </si>
  <si>
    <t>2.1.4. Identification of adaptation technology requirements</t>
  </si>
  <si>
    <t>2.2.2</t>
  </si>
  <si>
    <t>Execution Cost</t>
  </si>
  <si>
    <t>2.1.5. Implementation strategy includes approach for the use of incentives</t>
  </si>
  <si>
    <t xml:space="preserve">Execution </t>
  </si>
  <si>
    <t>TOTAL</t>
  </si>
  <si>
    <t>Total</t>
  </si>
  <si>
    <t>PLANNED EXPENDITURE SCHEDULE</t>
  </si>
  <si>
    <t>List outputs planned and corresponding projected cost for the upcoming reporting period</t>
  </si>
  <si>
    <t>PROJECTED COST</t>
  </si>
  <si>
    <t>Est. Completion Date</t>
  </si>
  <si>
    <t>March 2017</t>
  </si>
  <si>
    <t>December 2016</t>
  </si>
  <si>
    <t>December 2017</t>
  </si>
  <si>
    <t>June 2017</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</si>
  <si>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</si>
  <si>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</si>
  <si>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</si>
  <si>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</si>
  <si>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r>
      <t xml:space="preserve">The amount confirmed at MTR corresponds to years 2013 and 2014.
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t>
    </r>
    <r>
      <rPr>
        <b/>
        <sz val="11"/>
        <color indexed="8"/>
        <rFont val="Times New Roman"/>
        <family val="1"/>
      </rPr>
      <t>2013 US$ 112.985,00</t>
    </r>
    <r>
      <rPr>
        <sz val="11"/>
        <color indexed="8"/>
        <rFont val="Times New Roman"/>
        <family val="1"/>
      </rPr>
      <t xml:space="preserve">
MAE US$ 35.720,00
UNWomen US$ 77.265,00
</t>
    </r>
    <r>
      <rPr>
        <b/>
        <sz val="11"/>
        <color indexed="8"/>
        <rFont val="Times New Roman"/>
        <family val="1"/>
      </rPr>
      <t>2014 US$ 477.221,59</t>
    </r>
    <r>
      <rPr>
        <sz val="11"/>
        <color indexed="8"/>
        <rFont val="Times New Roman"/>
        <family val="1"/>
      </rPr>
      <t xml:space="preserve">
MAE US$ 242.222,42
GADPP US$ 107.070,00
CCRJ US$ 114.509,33
WFP US$ 13.419,84
</t>
    </r>
    <r>
      <rPr>
        <b/>
        <sz val="11"/>
        <color indexed="8"/>
        <rFont val="Times New Roman"/>
        <family val="1"/>
      </rPr>
      <t xml:space="preserve">2015 US$ 515.331,41
</t>
    </r>
    <r>
      <rPr>
        <sz val="11"/>
        <color indexed="8"/>
        <rFont val="Times New Roman"/>
        <family val="1"/>
      </rPr>
      <t>MAE US$ 292.989,16
GADPP US$ 85.156,86
CCRJ US$ 64.385,39
UN Women US$ 15.000,00
Local Governments US$ 39.800,00</t>
    </r>
  </si>
  <si>
    <t>PROCUREMENT DATA</t>
  </si>
  <si>
    <t>Please provide information for all contracts over $2.500 USD</t>
  </si>
  <si>
    <t>Please provide the number of  contracts under $2.500, signed during this reporting period:</t>
  </si>
  <si>
    <t>LIST OF CONTRACTS</t>
  </si>
  <si>
    <t>List all contracts related to the project/program with signature dates</t>
  </si>
  <si>
    <t>Contract Type</t>
  </si>
  <si>
    <t>Agency / Contracted party</t>
  </si>
  <si>
    <t>Contract Value/Amount (USD)</t>
  </si>
  <si>
    <t>Signature Date</t>
  </si>
  <si>
    <t>Payment to Date</t>
  </si>
  <si>
    <t>Remaining Balance</t>
  </si>
  <si>
    <t>SSA</t>
  </si>
  <si>
    <t xml:space="preserve">18 de mayo de 2015-15 de marzo de 2016 </t>
  </si>
  <si>
    <t>Goods</t>
  </si>
  <si>
    <t>PREFABRICATED CONCRETE BETANCOURT TACO CIA. LTDA.</t>
  </si>
  <si>
    <t>March 03, 2016</t>
  </si>
  <si>
    <t>PATHPROFIT S.A.</t>
  </si>
  <si>
    <t>June 21, 2016</t>
  </si>
  <si>
    <t>REPRESENTACIONES HIDROCENTRO CIA. LTDA.</t>
  </si>
  <si>
    <t>August 26, 2016</t>
  </si>
  <si>
    <t>GAD PP - MACCAFERRI S.A.Irrigation materials</t>
  </si>
  <si>
    <t>September 27, 2016</t>
  </si>
  <si>
    <t>September 28, 2016</t>
  </si>
  <si>
    <t>CCRJ - LUIS ALBERTO VINTIMILLA GONZÁLES, Selection of a professional for the design and construction of civil works of irrigation, for the corner Girón.</t>
  </si>
  <si>
    <t>CCRJ -JAPON MEDINA ANGEL POLIBIO, selection and hiring of labor for the construction of the irrigation systems of the Tenta parish, community of Cochapamba.</t>
  </si>
  <si>
    <t>CCRJ - DELGADO VERDUGO PABLO LEONARDO, Selection of a professional for the design and construction of civil works of irrigation, for the parishes of Tenta, Urdaneta and Guanazán.</t>
  </si>
  <si>
    <t>CCRJ -UCEM, acquisition of cement for the improvement of the irrigation systems of the Tenta, Urdaneta, Guanazán and Girón parishes, 87.72% of contract value is canceled, Special Regime process, carried out in the public procurement portal</t>
  </si>
  <si>
    <t>CCRJ - LUIS ALBERTO VALDEZ MOLINA, transport service of 1610 sacks of cement from the Guapán plant to the communities of the Tenta, Urdaneta, Guanazán and Giron parishes, as part of the implementation of the FORECCSA project.</t>
  </si>
  <si>
    <t>CCRJ - FLORES ASQUI, MARCELO ARMANDO, purchase of organic manure of chicken for the parishes of Shaglli and Chumblin, payment of 50% of contract advance, process of electronic reverse auction, realized in the portal of public purchases.</t>
  </si>
  <si>
    <t>CCRJ - PALAGUACHI GUARTAN INÉS LUCÍA, adquisición demateriales de riego para el mejoramiento de los sistemas de riego de Tenta, Urdaneta, Guanazán y Girón, pago del 50% saldo total del contrato, proceso de subasta inversa electrónica, realizado en el portal de compras públicas.</t>
  </si>
  <si>
    <t>CCRJ - GONZALEZ GONZALEZ HOLGER RENAN, promoter of the Urdaneta parish personal service contract for 4 months of work.</t>
  </si>
  <si>
    <t>CCRJ - ENCALADA RHEA ROSA ELVIRA, contracting carried out through the National System of Public Contracting, direct negotiation.
January 25-2016.</t>
  </si>
  <si>
    <t>CCRJ - MENDIA ANGEL ROMAN, contracting carried out through the National System of Public Procurement, reverse electronic auction process.
March 16, 2016</t>
  </si>
  <si>
    <t>CCRJ - MORALES ANDRADE JORGE ALBERTO, contracting through the process of very small amount, opted for the offer that offered the lowest selling price and fit the budget.
March 16-2016.</t>
  </si>
  <si>
    <t>CCRJ - TOLEDO LOPEZ EDGAR, contracting carried out through the Process of Infima Amount, contract made to carry out the process of systematization of the 8 measures by the consortium.
February 04, 2016</t>
  </si>
  <si>
    <t>February 04, 2016</t>
  </si>
  <si>
    <t>Services</t>
  </si>
  <si>
    <t>WFP - CIIFEN, Climatinc Information System for Jubones</t>
  </si>
  <si>
    <t>August 1,2014</t>
  </si>
  <si>
    <t>WFP - GEOCONTROL SERVICIOS Y SUMINISTROS</t>
  </si>
  <si>
    <t>WFP - VASQUEZ BUESTAN WILSON GEOVANNY</t>
  </si>
  <si>
    <t>WFP - QUEZADA QUEZADA KARLA CRISTINA</t>
  </si>
  <si>
    <t>WFP - ESPINOZA ESPINOZA RENE LUCIANO</t>
  </si>
  <si>
    <t>WFP - SOLINAG CIA LTDA</t>
  </si>
  <si>
    <t>WFP - ALVARADO SANCHEZ JUAN PABLO</t>
  </si>
  <si>
    <t>WFP - CONSTRUCTORA VIPACAS CIA LTDA</t>
  </si>
  <si>
    <t>WFP - ECOLGY FARM CIA LTDA</t>
  </si>
  <si>
    <t>WFP - SILVA RIVERA JAIME ABDON</t>
  </si>
  <si>
    <t>WFP - ORTEGA SOJOS PEDRO LEONEL</t>
  </si>
  <si>
    <t>WFP - COINCAD</t>
  </si>
  <si>
    <t>WFP - JHON HENDRY VILLACIS VASQUEZ</t>
  </si>
  <si>
    <t>WFP - CAMAREN</t>
  </si>
  <si>
    <t>WFP - BUSTAMANTE DE LA TORRE WILSON FERNANDO</t>
  </si>
  <si>
    <t>WFP - BARRERA SANDOVAL JORGE ESTEBAN</t>
  </si>
  <si>
    <t>WFP - SARMIENTO PESANTEZ RICHARD ALFONSO</t>
  </si>
  <si>
    <t>WFP - ESPINOZA MOLINA VILMA LEONOR</t>
  </si>
  <si>
    <t>* Contract/MuO amounts verified with original documents. Documents are kept in each institution files. Project team has a copy of them.</t>
  </si>
  <si>
    <t>** Staff contracted by CCRJ and WFP under their HR rules and regulations.</t>
  </si>
  <si>
    <t>*** MUO signed by WFP is not considering procurement processes. The agreement was negotiated directly with institutions that demonstrated technical experience in the field.</t>
  </si>
  <si>
    <t>|</t>
  </si>
  <si>
    <t>BIDS</t>
  </si>
  <si>
    <t>List all bids for each contact signed with date of open call and winning bid</t>
  </si>
  <si>
    <t>CONTRACT &amp; Procurement Method</t>
  </si>
  <si>
    <t>Submitted Bids</t>
  </si>
  <si>
    <t>Bid Amount (USD)</t>
  </si>
  <si>
    <t>Winning Bid Amount (USD)</t>
  </si>
  <si>
    <t>Selection Justification for the Winner</t>
  </si>
  <si>
    <t>The contracting process was carried out through an open conspiracy through public call</t>
  </si>
  <si>
    <t>Three technical and economic offers were received for this procurement process. Thus: María del Mar Baños, María Monserrat Falconi and Elisabetha Maisto. The selection panel decides to open the economic offers of those candidates who, in the combined score, reach a minimum of 70% of the 70 possible points in the technical part, that is, 49 points.</t>
  </si>
  <si>
    <t>The economic offers of Maria del Mar Baños are opened for 18,000 usd and Maria Falconi for 19,200 usd.</t>
  </si>
  <si>
    <t xml:space="preserve"> 19.200 usd </t>
  </si>
  <si>
    <t>The selection panel, considering the CV, the technical proposal and the economic proposal, recommends the hiring of Maria Falconi for an amount of 19,200 USD, having obtained the highest technical-economic combined score.</t>
  </si>
  <si>
    <t>GADPP Procurement of goods to be used in the improvement and expansion of the irrigation system in the Modular Board 9 Take 29 pro-improvement neighborhood Las Flores and El Carmen Procurement Method: Inverse Auction (Subasta Inversa)Date of Call: November 20, 2015</t>
  </si>
  <si>
    <t>Procurement process done by GADPP through the procurement digital government system under method called Inverse Auction (Portal de Compras Públicas - Subasta Inversa). One bid was received and selected.</t>
  </si>
  <si>
    <t>GADPP Procurement of goods for conventional weather stations.
Procurement Method: Inverse Auction (Subasta Inversa)
Date of Call: April 01, 2016</t>
  </si>
  <si>
    <t>Procurement process done by GAD PP through the procurement digital government system under method called Inverse Auction (Portal de Compras Públicas - Subasta Inversa). Two bids were
received. The bid with the lowest price was selected. The total value of the savings was of $16,494.00. The offeror made a reduction of 15% and was contracted.</t>
  </si>
  <si>
    <t>GEOCONTROL
SERVICIOS Y
SUMINISTROS
TÉCNICOS CIA. LTDA.</t>
  </si>
  <si>
    <t>GADPP Procurement of goods for the extension of secondary networks irrigation system comunitiy of Pitaná Bajo, Cangahua parish of the Cayambe canton. Procurement Method: Inverse Auction (Subasta Inversa)
Date of Call: May 05, 2016.</t>
  </si>
  <si>
    <t>REPRESENTACIONES
HIDROCENTRO CIA.
LTDA.</t>
  </si>
  <si>
    <t>Procurement process done by
GADPP through the procurement digital government system under method called Inverse Auction (Portal de Compras Públicas - Subasta Inversa). There were seven bids. The selection process wen through and only four of the bids went through.
Of this four, the bid with the
lowest price was selected. A total value of the savings was of
$6,000,00.
The offeror made a reduction of
31% and was contracted.</t>
  </si>
  <si>
    <t>JEREZ CUSTODE
MARCELO ALEJANDRO</t>
  </si>
  <si>
    <t>ASQUI ARMAS CARMEN
LOURDES</t>
  </si>
  <si>
    <t>PEREZ GAVILANES
ROBINZON HUMBERTO</t>
  </si>
  <si>
    <t>MEMKADISH SOCIEDAD
ANÓNIMA</t>
  </si>
  <si>
    <t>N/A</t>
  </si>
  <si>
    <t>TONELLO SOLUCIONES
INTEGRALES CIA. LTDA</t>
  </si>
  <si>
    <t>GADPP Procurement of goods to coat and protect the water reservoir for the community Larcapamba, Juan Montalvo parish, Cayambe canton. Procurement Method: Inverse Auction (Subasta Inversa)
Date of Call: July 12, 2016</t>
  </si>
  <si>
    <t>MACCAFERRI DE
ECUADOR S.A.</t>
  </si>
  <si>
    <t>Procurement process done by
GADPP through the procurement
digital government system under
method called Inverse Auction
(Portal de Compras Públicas -
Subasta Inversa).
There was only one bid. After
certifying technical compliance,
according to Ecuadorian National
Procurement Rules and
Regulations (Art. 47; No. 4), the
only bid needs to decrease its offer
in at least 5%.
The offeror made a reduction of
10% and was contracted.</t>
  </si>
  <si>
    <t>GADPP
Procurement of goods to coat
and protect the water reservoir
for the Guanto-San Carlos
and Curiloma communities,
Ayora parish, Cayambe
canton.
Procurement Method: Inverse
Auction (Subasta Inversa)
Date of Call: June 28, 2016</t>
  </si>
  <si>
    <t>Procurement process done by
GADPP through the procurement
digital government system under
method called Inverse Auction
(Portal de Compras Públicas -
Subasta Inversa).
Three bids were recieved. The
offeror made a reduction of 10%
and was contracted.</t>
  </si>
  <si>
    <t>TONELLO SOLUCIONES
INTEGRALES CIA. LTDA.</t>
  </si>
  <si>
    <t>Selection Process for a small amount, for the hiring of a professional in the design and construction of irrigation works, for the canton of Girón.
December 04, 2015</t>
  </si>
  <si>
    <t xml:space="preserve">LUIS ALBERTO VINTIMILLA </t>
  </si>
  <si>
    <t>Procurement process done by small amount, the best offer of the three presented (experience, cost, references and experience in similar works) is selected and that it suits the interests of the project and the contracting institution. In the month of June 2016 the final balance of the contract is canceled.</t>
  </si>
  <si>
    <t>DELGADO VERDUGO PABLO LEONARDO</t>
  </si>
  <si>
    <t>RAUL NARVAEZ</t>
  </si>
  <si>
    <t xml:space="preserve">Selection process by means of a small amount, for the hiring of labor for the construction and improvement of the irrigation systems of the parish Tenta.
Novembrer 30, 2015
</t>
  </si>
  <si>
    <t>JAPON MEDINA ANGEL POLIVIO</t>
  </si>
  <si>
    <t>Procurement process done by small amount, select the best offer of the three submitted and that suits the interests of the project and the contracting institution. In this period the outstanding balance of the contract is canceled.</t>
  </si>
  <si>
    <t>LAVANDA MOROCHO VICTOR</t>
  </si>
  <si>
    <t>JAPON GUAYLLAS ANGEL</t>
  </si>
  <si>
    <t>Proceso de Selección mediante ínfima cuantía, para la contratación de un profesional en diseño y construcción de obras de riego, para las parroquias de Tenta, Urdaneta y Guanazán.
November 04, 2015</t>
  </si>
  <si>
    <t>LUIS VINTIMILLA</t>
  </si>
  <si>
    <t>ZHIMINAICELA SUQUILANDA FRANKLIN</t>
  </si>
  <si>
    <t>Procurement Process of cement, through the national system of public procurement - Special Regime..
October 30, 2015</t>
  </si>
  <si>
    <t>UCEM</t>
  </si>
  <si>
    <t>Public Procurement Process through the National Public Procurement System, is applied between public sector institutions, direct purchase to the State supplier.</t>
  </si>
  <si>
    <t>Procurement process by smallest amount, selecting the best offer, to hiring transportation service for cement acquired by R.E.
November 09, 2015</t>
  </si>
  <si>
    <t>LUIS ALBERTO VALDEZ MOLINA</t>
  </si>
  <si>
    <t>Public Procurement Process through the National Public Procurement System, Electronic Reverse Auction Process that allows several suppliers to participate, the system chooses the best offer, two offers were submitted, the same ones that were qualified, in the bidding process, phase in the That the system chooses the best offer was achieved a saving of $1,168.00</t>
  </si>
  <si>
    <t xml:space="preserve">MESIAS VÁSQUEZ </t>
  </si>
  <si>
    <t>BYRON ZHAGNAY</t>
  </si>
  <si>
    <t>Public Procurement Process, Electronic Reverse Auction, for the acquisition of organic manure of chicken for the parishes of Shaglli and Chumblin.
August 31,   2015</t>
  </si>
  <si>
    <t>FLORES ASQUI MARCELO ARMANDO</t>
  </si>
  <si>
    <t xml:space="preserve"> Public Procurement Process through the National Public Procurement System, an Electronic Reverse Auction process was conducted that allows several bidders to participate, the system chooses the best bid, in this process two bids were submitted, the same were qualified, in the process Bidding, the system chooses the best bid will save $ 13,913.33.</t>
  </si>
  <si>
    <t>VAZQUEZ BUESTAN LUIS XAVIER</t>
  </si>
  <si>
    <t>Public Procurement Process, Electronic Reverse Auction, for acquisition of materials for the improvement of the irrigation systems of the Tenta, Urdaneta, Guanazán and Giron parishes.
August 12, 2015</t>
  </si>
  <si>
    <t>PALAGUACHI GUARTAN INÉS LUCÍA</t>
  </si>
  <si>
    <t>Public Procurement Process through the National Public Procurement System, an Electronic Reverse Auction process was conducted that allows several bidders to participate and the system chooses the best offer, in this process five bids were presented, the same ones that after the phase of Validation of errors, were rated by the technical commission, in the bidding process, phase in which the system chooses the best offer was achieved a saving of $ 13,918.33.</t>
  </si>
  <si>
    <t>SARMIENTO JARRIN ANGEL RAMIRO</t>
  </si>
  <si>
    <t>DITECUENCA CIA. LTDA.</t>
  </si>
  <si>
    <t>AXL SA COMPAÑIA DE COMERCIO</t>
  </si>
  <si>
    <t>RODRIGUEZ MENESES RAQUEL ANDREA</t>
  </si>
  <si>
    <t>The Parish Board made the selection process of a third of applicants, from the same was selected the folder of the professional who fulfilled the requirements for the post of parish promoter of the Urdaneta parish.
August 19, 2015</t>
  </si>
  <si>
    <t>GONZALEZ GONZALEZ HOLGER RENAN</t>
  </si>
  <si>
    <t>Selection of a professional to fulfill the functions of promoter of the Urdaneta parish, contract for a monthly salary of $ 1,000.00 for 4 months, additional to the salary is canceled $ 100 per month for mobilization.</t>
  </si>
  <si>
    <t>Electronic Reverse Auction Process, made through the National Public Procurement System. The system chooses the winner of the process according to the best offer.
Juanary 25, 2016</t>
  </si>
  <si>
    <t>ENCALADA RHEA ROSA ELVIRA</t>
  </si>
  <si>
    <t>For failing to comply with the technical specifications requested in the bidding documents, the purchase is made through negotiation, as established in the Organic Law of Public Procurement.</t>
  </si>
  <si>
    <t>Electronic Reverse Auction Process, carried out through the National System of Public Procurement.
February 19, 2016</t>
  </si>
  <si>
    <t>MENDIA ANGEL ROMAN</t>
  </si>
  <si>
    <t>As there are no more qualified offers, we proceed to negotiation processes, as determined by Law.</t>
  </si>
  <si>
    <t>Process of Immediate Amount, according to the established in the Organic Law of Public Constratation, of the three existing offers the best offer is chosen.
March 16, 2016</t>
  </si>
  <si>
    <t>MORALES ANDRADE JORGE ALBERTO</t>
  </si>
  <si>
    <t>We opted for the offer whose prices and materials were in accordance with the requirements in the terms of reference sent by the technician responsible for the measure.</t>
  </si>
  <si>
    <t>ESPINOZA ORDOÑEZ MARIA BLANCA</t>
  </si>
  <si>
    <t>TECNIRIEGO</t>
  </si>
  <si>
    <t>As established by the Organic Law of Public Procurement according to the amount was made the Infima Amount Process, service contract to carry out the systematization process.
February 04, 2016</t>
  </si>
  <si>
    <t xml:space="preserve">TOLEDO LOPEZ EDGAR </t>
  </si>
  <si>
    <t>We opted for the offer whose prices and properties offered are adjusted to the constant requirements in the terms of reference. By not delivering all the products a 20% retention is made, therefore $ 2,400 was canceled. Equivalent to 80% of the contract.</t>
  </si>
  <si>
    <t>VINTIMILLA MARIA INÉS</t>
  </si>
  <si>
    <t>VASQUEZ FAREZ PATRICIA ALEXANDRA</t>
  </si>
  <si>
    <t>Memorandum of Understanding</t>
  </si>
  <si>
    <t>CIIFEN, Climatic Information System for Jubones</t>
  </si>
  <si>
    <t>By resolution of the national committee of the project, it was requested through MAE that WFP sign an agreement with CIFFEN for the development of the early warning system.</t>
  </si>
  <si>
    <t>WFP COMPETITIVE PROCESS</t>
  </si>
  <si>
    <t>OTIM</t>
  </si>
  <si>
    <t>The lowest priced supplier was selected</t>
  </si>
  <si>
    <t xml:space="preserve">GEOCONTROL
</t>
  </si>
  <si>
    <t>FREILE &amp; CO</t>
  </si>
  <si>
    <t>SOLINAG</t>
  </si>
  <si>
    <t>The two suppliers were selected because they offered the best prices. Solinag seeds and Vásquez Geovanny organic fertilizers.</t>
  </si>
  <si>
    <t>AGROSAD</t>
  </si>
  <si>
    <t>AGROVIGORSA</t>
  </si>
  <si>
    <t>VASQUEZ BUESTAN GEOVANNY</t>
  </si>
  <si>
    <t xml:space="preserve"> ESPINOZA RENE LUCIANO</t>
  </si>
  <si>
    <t>Only Espinoza René's offer was received</t>
  </si>
  <si>
    <t>QUEZADA KARLA CRISTINA</t>
  </si>
  <si>
    <t>Quezada Cristina was selected because it offered the totality of irrigation kits requested and at the lowest price</t>
  </si>
  <si>
    <t>RICHARD SARMIENTO</t>
  </si>
  <si>
    <t>AUSTRORIEGO</t>
  </si>
  <si>
    <t xml:space="preserve">COMERCIAL KIWI
</t>
  </si>
  <si>
    <t>ALVARADO JUAN PABLO</t>
  </si>
  <si>
    <t>CONSTRUCTORA VIPACAS</t>
  </si>
  <si>
    <t>CONSTRUCTORA AUSTRORIEGO</t>
  </si>
  <si>
    <t>Juan Pablo Alvarado was selected because it offered all of the requested items and complied with the required technical specifications</t>
  </si>
  <si>
    <t xml:space="preserve">ECOLGY FARM </t>
  </si>
  <si>
    <t>Only the Ecology farm offer was received</t>
  </si>
  <si>
    <t>SILVA RIVERA JAIME</t>
  </si>
  <si>
    <t>Vásquez Buestán Geovanny was selected because he offered all of the requested items and complied with the required technical specifications</t>
  </si>
  <si>
    <t>ORTEGA PEDRO</t>
  </si>
  <si>
    <t xml:space="preserve">Juan Pablo Alvarado was awarded the purchase of seeds for offering the lowest price in San Rafael de Sharug
 It was awarded to Geovanny Vásquez for offering the lowest price in fertilizer for the parish of San Rafael de Sharug.
Ecolgy farm awarded for offering the lowest plant price for San Rafael de - Pedro Ortega was awarded for offering the lowest price in plants for the parish of La Asuncion
  Solinag was awarded for offering the lowest price in fertilizer for the parish of La Asunción.
   Geovanny Vásquez was awarded for offering the lowest price in plants for the parish of La Asunción. </t>
  </si>
  <si>
    <t>GALO ROJAS</t>
  </si>
  <si>
    <t>COMPAÑÍA J&amp;L ASOCIADOS</t>
  </si>
  <si>
    <t>CARLOS ANDRES JARAMILLO</t>
  </si>
  <si>
    <t>It was awarded to John Villacis for offering the lowest price in fertilizer.
It was awarded to Juan Pablo Alvarado for bidding the lowest price on seeds.
It was awarded to Pedro Ortega for offering the lowest price in forest plants.
It was awarded to Rene Espinoza for fertar the lowest price in forest plants.</t>
  </si>
  <si>
    <t>VILLACIS JOHN</t>
  </si>
  <si>
    <t>ESPINOZA RENE</t>
  </si>
  <si>
    <t>ECOLGY FARM</t>
  </si>
  <si>
    <t>Ecology Farm was selected because it offered all of the requested items and complied with the required technical specifications</t>
  </si>
  <si>
    <t>AGROSERVICIOS DEL AUSTRO</t>
  </si>
  <si>
    <t>AGRONOMOS Y VETERINARIOS SIN FRONTERAS</t>
  </si>
  <si>
    <t>The supplier was selected with lower price and meets the specifications requested</t>
  </si>
  <si>
    <t>CEPP</t>
  </si>
  <si>
    <t>COINCAD</t>
  </si>
  <si>
    <t>ECOBIOTEC</t>
  </si>
  <si>
    <t>ECOPAR</t>
  </si>
  <si>
    <t>CORPORACIÓN RANDI RANDI</t>
  </si>
  <si>
    <t>CAMAREN</t>
  </si>
  <si>
    <t>WILSON BUSTAMANTE</t>
  </si>
  <si>
    <t>COMPAÑÍA J&amp;L</t>
  </si>
  <si>
    <t>Direct contract</t>
  </si>
  <si>
    <t>BARRERA SANDOVAL JORGE</t>
  </si>
  <si>
    <t>Waiver requested by Ministry of environment because this provider has experience in the production of national and international videos.</t>
  </si>
  <si>
    <t>SARMIENTO PESANTEZ RICHARD</t>
  </si>
  <si>
    <t>Only the offer from this provider was received</t>
  </si>
  <si>
    <t>JATUNCUY</t>
  </si>
  <si>
    <t>SEÑOR CUY</t>
  </si>
  <si>
    <t>The two suppliers were selected for offering the best prices and comply with the technical specifications requested</t>
  </si>
  <si>
    <t>TADEC</t>
  </si>
  <si>
    <t>ANGEL MOROCHO/EL ALISAL</t>
  </si>
  <si>
    <t>ESPINOZA VILMA</t>
  </si>
  <si>
    <t>Supplier selected for offering all of the items requested</t>
  </si>
  <si>
    <t>VASQUEZ GEOVANNY</t>
  </si>
  <si>
    <t>MOROCHO ANGEL</t>
  </si>
  <si>
    <t>Ecology Farm was selected because it offered all of the items requested and at the lowest price</t>
  </si>
  <si>
    <t>* All bids done by MAE and CCRJ used national rules and regulations.</t>
  </si>
  <si>
    <t>** Intercoperation bidding process was reported in PPR 2014. The contract is closed but as the products were not submitted on time, there were a penalty fee of $5.241,43</t>
  </si>
  <si>
    <t>RISK ASSESMENT</t>
  </si>
  <si>
    <t>IDENTIFIED RISKS</t>
  </si>
  <si>
    <t>List all Risks identified in project preparation phase and what  steps are being taken to mitigate them</t>
  </si>
  <si>
    <t>Identified Risk</t>
  </si>
  <si>
    <t>Current Status</t>
  </si>
  <si>
    <t>Steps Taken to Mitigate Risk</t>
  </si>
  <si>
    <t>Changes of local authorities within the Ecuadorian Government may determine possible changes in the national strategy for climate change.</t>
  </si>
  <si>
    <t xml:space="preserve">
Overcome</t>
  </si>
  <si>
    <t>The National Strategy of Climate Change (NSCC) approved in 2012 and currently under implementation strengthens the capacity building of sectorial ministries and local governments, in order to implement their actions according to NSCC guidelines. These actions are aligned to the Political Constitution of Ecuador, the National Plan for Good Living and several legal instruments that provides direction for the State policy implementation. Thus, even though there are and will be changes among local authorities, they will have to follow the National strategy.</t>
  </si>
  <si>
    <t>Climate change adaptation measures has not been incorporated in policies, strategies, and plans of local governments.</t>
  </si>
  <si>
    <t>Low</t>
  </si>
  <si>
    <t xml:space="preserve">According with the national law of decentralization (COOTAD by its Spanish acronym), local governments have designed Development and Land Use Plans (PDOT by its Spanish acronym) outlining their priorities. Therefore, project activities focus on developing Adaptation to Climate Change Plans with a participatory approach that eventually will be included in these plans.  
On July 2014, the Ministry of Environment of Ecuador (MAE) published the "Guide for application of general guidelines for Climate Change Plans and Strategies on Local Governments". During 2015, some climate change projects of the Undersecretary of Climate Change of MAE, including the FORECCSA Project, used this guide to work with local governments in updating theirs PDOT to: include Climate Change (CC) in planning; gender; and, include food security indicators most affected by CC threats in several sections of the plan (diagnosis, territorial model/proposal and management model). The Project worked with13 local provincial governments (2 Cantons in Pichincha and 11 Parishes in Jubones). It is worth to mention that the adaptation measure implementation was prioritized by the local authorities. 
The Provincial Government of Pichincha has developed its Institutional Climate Change Strategy aligned with the NSCC and it has been implemented since 2014. FORECCSA Project contributes to the objectives of the strategy that Pichincha government has being implemented. In the case of Jubones, 45 Local Governments have adaptation plans and they incorporated their contents into local Development Plans.
These activities will allow local governments to implement actions considering CC risks.
</t>
  </si>
  <si>
    <t>MCRJ is going through a re-organization process to become a local governmental consortium.  During this period of change the leadership may redirect its priorities towards different objectives.
Identified in 2014: CCRJ is shown weaknesses due to recent election. The implementation time frame of the project could be affected.</t>
  </si>
  <si>
    <t xml:space="preserve">The CCRJ, formerly "Mancomunidad de la Cuenca del Río Jubones" (MCRJ) carried out on 2011 a process to legally conform a Public Consortium under the decentralized law (COOTAD). 
The project team has worked closely with the CCRJ team in order to mitigate difficulties caused by changes in staff; over the course of one year, there were four different CCRJ managers. During 2015, CCRJ demonstrated little capacity to execute the project. CCRJ personnel has decrease, local governments question their membership and there is lack of budget.
On January 2015, the Project Steering Committee (SC) assessed CCRJ capacity to implement the project and decided that CCRJ finishes 8 adaptation measures that were under their implementation and that the other parishes will be implemented directly by the Ministry of Environment of Ecuador. This new execution modality requested the assistance of WFP on strategic procurement processes. This new modality entered into force in June 2015. 
As a result of this new implementation, 22 local governments requested this modality (based on a resolution from their governmental bodies) and a total of 22 agreements were signed. In the rest of parishes of Jubones the actions are executed in direct coordination between MAE and the local governments, which has allowed a significant advance.
The CCRJ has completed its performance as an implementing partner for 8 adaptation measures of which 7 were completed and one was transferred to MAE team in order to complete pending actions. Consortium has submitted an assessments and a review of the accounts has been carried out. The final audit is pending, with an external national consultant.
</t>
  </si>
  <si>
    <t>Scientific and technical information in relation to climate change in Ecuador is insufficient, incomplete, and uncertain.</t>
  </si>
  <si>
    <t>Medium</t>
  </si>
  <si>
    <t>There is little local specialized management and technical capacity related to climate change, particularly in the entities that are responsible for the project. MAE identified among one of the major problems regarding adaptation to climate change, the lack of human technical resources.</t>
  </si>
  <si>
    <t xml:space="preserve">Since 2015, as part of the Climatic Information System, the Project started to assess the training of local authorities and technicians regarding climate change, food security and gender. This plan has the objective of improving local capacity and methodologies to manage climate change under local priorities. Nowadays, 209 technicians from Local Governments and National Entities have been trained. On 2017 the training plan will continue.
Additionally and as part of the adaptation measures to climate change, there is a capacity plan for the families and communities to improve knowledge and increase resilience regarding climate change treats. Also the staff from local governments participate in activities to increase awareness on climate change, food security, nutrition and gender.
In order to strengthen previous actions, the Project together with the National Meteorological Service (INAMH) will develop Climate Forums in strategic sectors of the intervention area.
</t>
  </si>
  <si>
    <t>Regulatory setting is in discussion by Ecuador National Assembly, including a new law that regulates the use of hydro resources.</t>
  </si>
  <si>
    <t xml:space="preserve">Low </t>
  </si>
  <si>
    <t xml:space="preserve">The Ecuadorian National Assembly has proposed a new law for water management on July 2014. The national entity SENAGUA is in charge of water management policies. According to the decentralized law (COOTAD by its Spanish acronym) local governments have competencies to promote adaptation measures focused on water management. Based on this resolution the Project is working in partnership with local governments, not only at the parish level but provincial level too, according to the specific competencies outlined in the COOTAD and new water law.
Since 2015, the Project has established good and long term relationships with Provincial Governments, responsible for water management. For instance, GADPP and Loja Provincial Government took part of the reviewing and approval of technical designs of water conduction and reservoirs activities to be implemented.
</t>
  </si>
  <si>
    <t xml:space="preserve"> </t>
  </si>
  <si>
    <t>Weak local organizational structures, which may raise conflicts within and among local communities.</t>
  </si>
  <si>
    <t>Close coordination with local governments is the key element to prevent conflict at local level as well as permanent accompaniment in planning, monitoring and evaluation activities. The MAE, through its Provincial Directorates based in Azuay, El Oro, Loja and Quito provides institutional support to project management and facilitates coordination with various actors in the territory to strengthen cooperative relations. On the other hand, with the new modality of execution that was opened for Jubones the GADs become co-executors of the project and lead actions in its territory. This approach has increased its motivation, empowerment and support to the project implementation. Additionally, throughout the capacity building plan, the project is increasing knowledge and ensuring participation and gender equality. Thus, local communities would take part in decision making process (taking into account gender issues) and execution of concrete activities to increase their adaptation capacity and resilience to the impacts of climate change that affect their food security.</t>
  </si>
  <si>
    <t>MAE has pointed out the lack of local level information on many aspects of climate change.</t>
  </si>
  <si>
    <t xml:space="preserve">The project has developed a vulnerability study in targeted areas to set baseline indicators according to the project results framework related to climate change threats, adaptive capacities and community resilience related to food security and gender issues. Furthermore, each climate change adaptation measures has its own baseline to track project activities and results.
In addition, nine typologies of adaptation measures to climate change have been generated with emphasis on food security and gender. Each one of the measures has been defined a specific contribution to adaptation and defined a set of indicators to demonstrate the achievements in this area.
Regarding the availability of climatic information, the network of meteorological stations that feed the forecasting system of the National Meteorological Service (INAMH by its Spanish acronym) is being strengthened. The access to climate information is facilitated through a web programme as part of the Climate Alert System that has been developed in order to reach the activities mentioned above.
</t>
  </si>
  <si>
    <t>Critical Risks Affecting Progress (Not identified at project design)</t>
  </si>
  <si>
    <t>Identify Risks with a 50% or &gt; likelihood of affecting progress of project</t>
  </si>
  <si>
    <t>National start up processes for cooperation project in Ecuador take an extensive amount of time.</t>
  </si>
  <si>
    <t>Overcome</t>
  </si>
  <si>
    <t>Delays were incurred in setting up the Project bank account after its registration on the national planning structure for international cooperation; and in signing project agreements. However, strong political will for the project at the highest levels resolved these problems. In order to compensate the time incurred in the beginning of the project, an extension with no-cost was approved for an additional 18 months, which was validated by the Adaptation Fund.</t>
  </si>
  <si>
    <t>The decision making process for this project is delayed due to the involvement of many stakeholders in project implementation.</t>
  </si>
  <si>
    <t xml:space="preserve">The project has now an approved Steering Committee Policy and an Operational Manual to guide all the implementation process; both documents define clearly stakeholder roles and responsibilities. The project structure and implementation arrangements are in constant adaptation.
During 2015, the Midterm assessment ratifies the need of an adaptive management capacity to face constant changes at political and technical levels. The external evaluators confirms that the project is innovative but complex and need flexibility to be managed. 
The recommendations of the evaluation are applied daily and the decision-making has been accelerated based on information provided by the parties and direct consultation with the decision makers.
</t>
  </si>
  <si>
    <t>Delay on project implementation due to Local Stakeholders lack experience on project implementation  and understanding of adaptation to climate change processes</t>
  </si>
  <si>
    <t>High</t>
  </si>
  <si>
    <t xml:space="preserve">The Steering Committee members (MAE, MAGAP and WFP) are seeking to build a lasting and efficient relationship with local partners. In order to strengthen capacity building and improve project implementation rate, the Steering Committee decided in 2013 to change the financial arrangements for this project. WFP is now transferring funds directly to local execution partners for implementation at local level instead of going first through MAE. A memorandum of Understanding and Operating Annual Plans have been signed with local executing partners. In the last quarter of 2014, the new implementation arrangements have to be done because CCRJ demonstrated a low rate of implementation. For this reason the project needed to adjust project arrangements at legal, administrative and financial issues as well as strengthen its personnel, these process took at least 6 months which impacted in project timeline but now it is expediting project execution. 
The SC requested WFP to manage this strategic procurement, as these kind of procurement are new for country office, some time was needed to organize these process specially hiring infrastructure works. These procedures requires thee endorsed by the construction department of Rome which requires several steps before approval. This with the aim to ensure the best use of the resources and to guarantee that the work comply with all quality requirements. These changes produced an extension for all measures that require construction works in Jubones.
Additionally, Project needs to considerer local dynamics to plan activities. In some cases they delay project activities. Finally, in the middle of 2016 MAE authorities have changed and project need some time to positioning it again. MAE has expressed its full support to project execution. 
Following MTR recommendations, SC requested the extension of 18 months for project activities. Also an adjustment of the logical framework was need it in order to make it more clear and coherent to avoid duplication of indicators.  The changes in the logical framework were discussed with the SC but they decided not to change the indicators because of the short amount of time left. Once the project obtained the time extension all the local agreements were modify in order to reach their objectives.  
</t>
  </si>
  <si>
    <t>Identified in 2014: The national policy of cooperation prevents cooperation resources cover the value added tax (IVA) to generate investment, quoted in the second paragraph of Article 73 of the Consolidated Law on Internal Taxation.</t>
  </si>
  <si>
    <t xml:space="preserve">Medium </t>
  </si>
  <si>
    <t xml:space="preserve">The project requested to the national tax agency, the Secretariat of Cooperation, and the Ministry of Finance a tax exemption or return of the VAT tax however the respond were not favorable.  CCRJ provided a lawyer to create an agreement that would allow resources for VAT (12%) to be covered by GADs; this proposal was not accepted by GADs so it was not implemented. 
The SC analyzed options for changing project management arrangements in Jubones, the only option that guarantee that VAT taxes will be reimbursed is when WFP procure goods and services thanks to its international organization status (all purchases are subject to the tax). 
WFP has made several acquisitions and will manage the return of VAT. This process will take longer than normal since the Government of Ecuador, due to the economic crisis that is facing is not processing VAT refund request. 
</t>
  </si>
  <si>
    <t>Identified 2015, delay in the processes of contracting works and acquisition of materials required by the Project</t>
  </si>
  <si>
    <t>Knowing the amount of time needed for the acquisition process, project staff perform fast still deep reviews of the technical studies and validates the information. This with coordinated with the procurement unit of WFP, in order to ensure that the technical specifications are as detailed as possible. The field team has been strengthened with a local technical coordinator for Jubones, in order to plan the purchase requirements and better coordinate activities in the field.</t>
  </si>
  <si>
    <t xml:space="preserve">There is a risk of a project delay caused by weather conditions. Thus, project staff elaborates terms of references with a warning note for the bidders about the heavy rainy season conditions before hiring construction work. Thus, bidders can be foreseen strategies against this issue.  </t>
  </si>
  <si>
    <t xml:space="preserve">Identified at the end of the year 2016: National elections for president of Ecuador </t>
  </si>
  <si>
    <t xml:space="preserve">Presidential and Parlement elections will be held in February 2017. T potential changes in national governmental authorities will impact the first 6 months of 2017 and the transition process could delay some project activities. Thus, the project has requested to the Undersecretary of Climate Change a focal point that could inform the new authorities about FORECCSA project. </t>
  </si>
  <si>
    <t>Risk Measures: Were there any risk mitigation measures employed during the current reporting period?  If so, were risks reduced?  If not, why were these risks not reduced?</t>
  </si>
  <si>
    <t>Add any comments relevant to risk mitigation (word limit = 500)</t>
  </si>
  <si>
    <t xml:space="preserve">The project has been confronted to risks related to local management mechanisms. The members of the Steering Committee periodically analyzed challenges and risks during 2016. One of the most important issues was the delay on project implementation and ownerships from local governments when a need occured for change of interaction with CCRJ.
The mixed modality, between MAE, CCRJ and direct implementation through Parishes in Jubones, is a clear response to risk management. This new modality allows the direct participation of Parish local governments so ownership and sustainability is secured. To minimized procurement delays and solve the VAT issue, WFP as per MAE request, is in charge of most of procurement of goods and services. WFP rules and regulations allow VAT refund from government.
As implementing partner, WFP has intervened not only at the technical and operational level but also at the political level to discuss challenges through project implementation and look for constructive solutions. Significant and frequent changes in MAE authorities during 2016 required WFP to continue advopcate to maintain commitment and continuity. The continuity of Project Manager, WFP staff and project technical team has helped the project to continue activities despite changes in authorities at national and local level. Finally, natural disasters such as the earthquake that affected heavily Ecuador also delayed some project implementation acitivies since it was national priority for all Ministries to provide assistance to the affected provinces. Even though it was a difficult time for project execution WFP demonstrated its capacity in respond quickly when it comes to humanitarian aid and still carrying the process of purchases of FORECCSA project supplies.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</si>
  <si>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</si>
  <si>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</si>
  <si>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</si>
  <si>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</si>
  <si>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</si>
  <si>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</si>
  <si>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</si>
  <si>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Output 1.1.1. Parishes in targeted cantons trained in climate change threats and adaptation measures which reduce vulnerability, in particular related to food security</t>
  </si>
  <si>
    <t>All communities participated in initial training sessions</t>
  </si>
  <si>
    <t>Output 1.1.2. Targeted parishes participate in adaptation and risk reduction awareness activities</t>
  </si>
  <si>
    <t>HS</t>
  </si>
  <si>
    <t>Output 1.1.3. Food security and gender considerations integrated in all adaptation training programs</t>
  </si>
  <si>
    <t xml:space="preserve">All capacity building training programs make a cross-cutting and explicit approach to the gender approach. Taking onto account that the effects of climate change are differentiated for men and women depending on the roles that they have in society. 
Modules and training tools addressing food security and gender empowerment have been developed. The strategy to mainstream gender in adaptation plans and measures has been strengthened with the assistance of a gender expert who has trained the technical team of the project and has guided the implementation of the actions with technical support from UN Women. The workshops for the design of adaptation measures and the initial implementation phase have taken into account factors such as food security and gender. 
As a result of these efforts a gender capacity building training plan for the FORECCSA Project has been implemented in the country. This plan provided technical assistance for gender issues in the adaptation measures for the parishes and co-executors of the project. This plan allowed to increase the knowledge, skills and abilities of the project staff in charge of executing and monitoring the progress of the Project in the field, under the premise that this team will be the multiplier of the principles that will guide gender equity in project implementation.
The incorporation of a gender perspective in training processes of the project has been considered on two levels: i) Content development explicitly linked to the theme of gender and the effort to link gender and food security themes with the purpose that both objectives demonstrate connections in practice. ii) Strategies have been planned and implemented to encourage the women participation in the workshops (schedules, places, themes) and to evaluate the knowledge progress of men and women on the topics addressed.
</t>
  </si>
  <si>
    <t>Output 1.2.1. Local adaptation plans developed to reduce vulnerabilities to climate change induced food insecurity in targeted areas</t>
  </si>
  <si>
    <t>Parish adaptation plans prepared</t>
  </si>
  <si>
    <t xml:space="preserve">In order to formulate adaptation plans, it was agreed among the project Committee, that each parish would need an assessment of its vulnerability to the adverse effects of climate change with an emphasis on food security. This plan allows to define a set of actions to be implemented, these actions are included in the adaptation plan for each parish.
Thus a vulnerability assessments were conducted in 44 parishes through participatory processes with community members, local governments and experts in food security, climate change and community development.  Studies were carried out with an innovative methodology developed by MAE and WFP, which incorporates indicators such as social development, gender equality, food security and climate change. Information gathered on these studies was used to design adaptation plans for 44 individual parishes, which contribute to local territory planning. 
Until 2016, 44 parishes have an Adaptation to Climate Change Plan with emphasis on food security and gender considerations and five more will be formulated in 2017. As part of the implementation of measures, in the last quarter of 2016 a new socialization meeting has been made with each parish. These processes were carried out by the project and as a result of these actions local authorities are using this plans for local planning and policy making in line with the decentralization law (COOTAD). The local governments have updated their PDOT describing their priorities in which they include specific information and actions to tackle climate change, Food security and gender.
</t>
  </si>
  <si>
    <t>Output 1.2.2. Community participation in processes to develop adaptation plans in targeted parishes</t>
  </si>
  <si>
    <t>All parishes reached</t>
  </si>
  <si>
    <t xml:space="preserve">With the assistance of external consultants and project staff team the adaptation plans were developed in coordination with local implementing partners. Thus, the project ensures a coordination mechanism between the central and local levels of governance which at times was not easy and required a lot of negotiation, time and efforts. Local community’s participation has been the key element for this process, so their priorities and needs are the core of the proposals.
During 2016 plans are being socialized with the authorities to demonstrate progress and overcome project challenges. In some cases the authorities have taken initiative to propose local ordinances or regulations to tackle climate change, food security and gender issues. As a result of these efforts these topics have been incorporated into 13 Development and Territorial Planning Plans (PDOT). 
</t>
  </si>
  <si>
    <t>Output 1.2.3. Agreements developed and signed among targeted parishes, GADPP or CCRJ, MAE and WFP to implement adaptation actions</t>
  </si>
  <si>
    <t>All agreements reached to implement adaptation plans</t>
  </si>
  <si>
    <t>Output 1.2.4. Women participated in processes and decision making to develop adaptation plans</t>
  </si>
  <si>
    <t xml:space="preserve">Project activities have created ways to facilitate participation of women and men and take into account their different needs. Targeting criteria for households participation in adaptation measures gives priority to families who are led by women. Decision-making workshops promoted by the project are held at times that fit well with women's schedules. During the development of workshops, facilities for child care are provided from project staff so participants can concentrate in the training. 
The process of measures implementation considered working with groups of men and women to facilitate their needs and interests manifest themselves separately and properly addressed. Work on measures such as orchards, small animals and farm irrigation has allowed meet the practical needs of women. In Jubones three municipalities and parishes are led by women, these have been taken as emblematic cases and work closely to promote women empowerment and use them as an example.
The alliance with UN Women has allowed the Project to benefit from the support of 2 consultants. Both of them for implementing adaptation measures process and for the training process of the local project staff. A consultant accompanied the implementation actions in 2015 and another in 2016, which ensures the effective mainstreaming of the gender approach, which has also enabled the development new skills for local trainers in order to implement their activities with a gender approach.
</t>
  </si>
  <si>
    <t>Output 1.3.1. A climatic information system, including monitoring of climatic events, designed and implemented in each targeted areas in accordance with local context</t>
  </si>
  <si>
    <t>All early warning systems in place</t>
  </si>
  <si>
    <t xml:space="preserve">In Jubones, there is an agreement with the International Center for the Investigation of El Niño phenomenon (CIIFEN) to design and implement the Climate Alert System (SAC by its acronym in Spanish). A coordinated work with MAE, MAGAP and PMA, the model and scope of the SAC was defined, as well as the management model. To date, the Diagnosis and proposal of the SAC have been generated, out of the four models designed, two are approved (vulnerability and climate) and the rest are under construction (communication and response). The viewer (web software) will allow to analyze climate and vulnerability information in order to warn risks. Simultaneously institutional agreements have been reached in order to form the working table on food security in partnership with IMAMHI, MAE, MAGAP, SGR and CONAGOPARE. Socialization meetings have been held with local actors all comments have been collected in order to include them in the SAC Operation and Management Model. The involvement of local actors has been a key point in the design and implementation of activities. 
Together with INAMHI the equipment acquired with the Project to strengthen the network of meteorological stations Jubones was installed. 
Pichincha is in the process acquiring equipment to establish the network of meteorological stations in order to have enough quality data for climate analysis. In 2016, the GADDP has had problems with procurement processes that have delayed implementation, agreements with the national authority of weather information (INAMHI) for the implementation of climate forums have been affected by constant change programming. Nowadays, communities are in an intensive training process on adaptation measures topics and they have requested that these events will be restarted on January 2017. All these activities are being coordinated with the INAMHI, and systems cover 50 parishes aimed at both target areas.
</t>
  </si>
  <si>
    <t>Output 1.3.2. Monitoring system to track project results and lessons learned</t>
  </si>
  <si>
    <t>Monitoring systems in place</t>
  </si>
  <si>
    <t>Output 2.1.1. Concrete adaptation measures based on parish adaptation plans are designed</t>
  </si>
  <si>
    <t>100% of adaptation measures planned</t>
  </si>
  <si>
    <t xml:space="preserve">Based on the adaptation plans and vulnerability studies, concrete activities (adaptation measures) have been designed at the parish level in close coordination with the local communities. The design process of the measure was carried out by the project´s team with support from external consultants. The design phase involved a lot of time and efforts in order to obtain commitment from partners. The participation of the community and local authorities was crucial in order to guarantee sustainability. 
The approval process of the adaptation measures goes from local to national level of governance and it counts with the inputs from CCRJ, MAE, MAGAP and WFP. 
As a result of this efforts the project has implemented 44 adaptation measures in vulnerable parishes to the effects of climate change. Meanwhile in the 6 remaining parishes of the project target, adaptation measures are in the process of being designed and are planned to be implemented by the fourth quarter of 2017. The designs of these adaptation measures will be finalized in the first quarter of 2017, and it is estimated that the acquisitions will be made until the second quarter of next year. 
</t>
  </si>
  <si>
    <t>Output 2.1.2. Adaptation to climate change measures (physical assets, natural assets and technologies) are implemented according with the parishes adaptation plans</t>
  </si>
  <si>
    <t>90% of asset created</t>
  </si>
  <si>
    <t xml:space="preserve">By the end of 2016, 44 adaptation measures have been implemented. Involving 12,693 families vulnerable to the harmful effects of climate change and food insecure, with an investment of USD 2,804,301.18.
The adaptation measures are grouped into nine typologies: (i) Strengthening community irrigation in the drought areas, (ii) provisioning of land irrigation, (iii) development of family gardens, (iv) management of organic fertilizers for moisture soil retention (Vi) breeding of smaller animals as a source of protein, (vii) improvement of the provision of drinking water for human consumption, (viii) protection of water sources, and (ix) seed development with drought resistance attributes. For each typology a set of indicators has been established that will allow the project impact assessment of the project in contribution to the adaptation to climate change, food security and gender.
Summary of measures implementation: 44 adaptation measures (34 in Jubones &amp; 10 in Pichincha) are being implemented and validated by GADs and local communities.  2 measures in Pichincha in culmination stage of design (Tocachi and Tupigachi). These measures are expected to be delivered in the first quarter of 2017. In a closing stage there will be 7 adaptation measures, which will be strengthened with the incentive strategy that will be implemented next year. At the stage of design there are 4 measures (Cañaribamba, Zaruma, Sinsao and Cayambe) and these will be ready in the quarter of 2017. These measures are expected to be complete its design until the first half of 2017 and plans to end adaptation actions in the fourth quarter of 2017.
A total of 50 adaptation measures are being implemented that will empower vulnerable communities.
Summary of project outcomes:
• Construction / improvement of 23 reservoirs that increase water storage capacity by 120,732 m3 in order to produce food in the dry season.
• Improvement of 34 km of critical sections of community irrigation canals to provide small rural farmers with irrigation water.
• 1,850 families improve their life quality by having permanent drinking water.
• 3,023 hectares used for family farming have water for irrigation.
• Incorporation / improvement of agricultural practices to retain soil moisture, create microclimates, attenuate water shortages and diversify diet into at least 4,000 rural family chakras.
Detailed information of each adaptation measures on Annex 2.
</t>
  </si>
  <si>
    <t>Output 2.1.3. Implementation strategy includes approach for the use of incentives</t>
  </si>
  <si>
    <t>Strategy developed
90% of incentives implemented</t>
  </si>
  <si>
    <t>Output 2.2.1. Community participation, in particular of women, guide decision making processes for project execution</t>
  </si>
  <si>
    <t>Feedback process implemented</t>
  </si>
  <si>
    <t>Output 2.2.2, Parishes share success stories and lessons learned</t>
  </si>
  <si>
    <t>Overall Rating</t>
  </si>
  <si>
    <t>Please Provide the Name and Contact information of person(s) responsible for completing the Rating section</t>
  </si>
  <si>
    <t>Diego Guzman, National Director for Climate Change Adaptation</t>
  </si>
  <si>
    <t>Please justify your rating.  Outline the positive and negative progress made by the project since it started.  Provide specific recommendations for next steps. . (word limit=500)</t>
  </si>
  <si>
    <t xml:space="preserve">Implementing Agency  </t>
  </si>
  <si>
    <t>MS</t>
  </si>
  <si>
    <t>Please Provide the Name and Contact information of person(s) reponsible for completeling the Rating section</t>
  </si>
  <si>
    <t>Carmen Galarza, WFP´s Programme Office and Project Administrator</t>
  </si>
  <si>
    <t>carmen.galarza@wfp.org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</si>
  <si>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</si>
  <si>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</si>
  <si>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</si>
  <si>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</si>
  <si>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achieve </t>
    </r>
    <r>
      <rPr>
        <b/>
        <sz val="11"/>
        <color theme="1"/>
        <rFont val="Times New Roman"/>
        <family val="1"/>
      </rPr>
      <t>all</t>
    </r>
    <r>
      <rPr>
        <sz val="11"/>
        <color theme="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</si>
  <si>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</si>
  <si>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</si>
  <si>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</si>
  <si>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major relevant outcomes/outputs, </t>
    </r>
    <r>
      <rPr>
        <b/>
        <sz val="11"/>
        <color theme="1"/>
        <rFont val="Times New Roman"/>
        <family val="1"/>
      </rPr>
      <t>but</t>
    </r>
    <r>
      <rPr>
        <sz val="11"/>
        <color theme="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</si>
  <si>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</si>
  <si>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major outcomes/outputs with </t>
    </r>
    <r>
      <rPr>
        <b/>
        <sz val="11"/>
        <color theme="1"/>
        <rFont val="Times New Roman"/>
        <family val="1"/>
      </rPr>
      <t>major shortcomings</t>
    </r>
    <r>
      <rPr>
        <sz val="11"/>
        <color theme="1"/>
        <rFont val="Times New Roman"/>
        <family val="1"/>
      </rPr>
      <t xml:space="preserve"> or is expected to achieve only some of its major outcomes/outputs.</t>
    </r>
  </si>
  <si>
    <t>Unsatisfactory (U)</t>
  </si>
  <si>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most of its major outcomes/outputs.</t>
    </r>
  </si>
  <si>
    <t>Highly Unsatisfactory (U)</t>
  </si>
  <si>
    <r>
      <t xml:space="preserve">Project actions/activities planned for current reporting period  are </t>
    </r>
    <r>
      <rPr>
        <b/>
        <sz val="11"/>
        <color theme="1"/>
        <rFont val="Times New Roman"/>
        <family val="1"/>
      </rPr>
      <t>not</t>
    </r>
    <r>
      <rPr>
        <sz val="11"/>
        <color theme="1"/>
        <rFont val="Times New Roman"/>
        <family val="1"/>
      </rPr>
      <t xml:space="preserve"> on track and shows that it is </t>
    </r>
    <r>
      <rPr>
        <b/>
        <sz val="11"/>
        <color theme="1"/>
        <rFont val="Times New Roman"/>
        <family val="1"/>
      </rPr>
      <t>failing</t>
    </r>
    <r>
      <rPr>
        <sz val="11"/>
        <color theme="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</si>
  <si>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</si>
  <si>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</si>
  <si>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</si>
  <si>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</si>
  <si>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</si>
  <si>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</si>
  <si>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</si>
  <si>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</si>
  <si>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Impact</t>
  </si>
  <si>
    <t>Threat level to ecosystems, related to climate change effects</t>
  </si>
  <si>
    <t>Ecosystems rated as high vulnerability</t>
  </si>
  <si>
    <t>The vulnerability level of ecosystems in the project area, are rated as medium</t>
  </si>
  <si>
    <t>Household consumption score</t>
  </si>
  <si>
    <t>Food consumption less than 30 for 80% of population</t>
  </si>
  <si>
    <t>Food consumption score improves (&gt; 35/40) for all targeted participants</t>
  </si>
  <si>
    <t>Outcome 1.1.</t>
  </si>
  <si>
    <t>Number of adaptation plans implemented at the parish level, and incorporated in the local development plan</t>
  </si>
  <si>
    <t>No parish adaptation plans under development</t>
  </si>
  <si>
    <t xml:space="preserve">Adaptation plans have been developed for 45 parishes (34 in Jubones and 11 in Pichincha).
Between 2015 and 2016 the majority of the parishes and cantons have used information of the adaptation plans to update the Development and Land Use Plans (PDOT by its acronym in Spanish) that were presented to the National Secretariat for Planning for its approval. As a management tool, several parishes included in their annual planning the adaptation measure that is implemented with the FORECCSA project. 
Out of the 45 adaptation plans, 12 were developed between 2015 y 2016. These plans used the guidelines of MAE in order to develop and incorporate climate change issues in local planning. According to the plan proposal, climate change variable was incorporated into several sections of the plans. Two parishes of Loja were chosen to develop a climate change plan instead of an adaptation plan that will be presented to MAE to coordinate efforts for its implementation. The plan has a high replication potential in the territory because they do not only consider adaptation, but also concrete activities to reduce greenhouse gas emissions. Although these efforts on the local level are minimal, they are considered a great pilot experiences.
</t>
  </si>
  <si>
    <t>50 parishes (37 parishes for the Jubones and 13 for Pichincha) develop adaptation plans to climate change risk, in a participatory process</t>
  </si>
  <si>
    <t>Output 1.1.1</t>
  </si>
  <si>
    <t>Number of targeted population aware of climate change impacts and appropriate responses to threats</t>
  </si>
  <si>
    <t>Limited knowledge by vulnerable parishes in the adaptation measures to reduce food insecurity</t>
  </si>
  <si>
    <t xml:space="preserve">On 2016, 255 workshops were carried out in themes such as climate change, food security and gender generating building capacity to 9,069 people.  Below the results of these efforts by province: 
Loja:    1.510 that represent 17% of the beneficiaries. 
Azuay:   2.274 that represent 26% of the beneficiaries. 
El Oro:   630 that represent 8% of the beneficiaries. 
Pichincha:  4236 that represent 49% of the beneficiaries. 
Another capacity building process was carried out by the CCRJ within the framework of adaptation measures in the Jubones Basin, as a result of this effort 210 people were trained.
The project has additional components for capacity building of adaptation measures. Thus capacity building in early warning system that is binding on the sustainable management of adaptation measures, 209 people have been trained.
To evaluate the knowledge of trained people, evaluations have been carried out in Jubones and Pichincha, where a 100% of the assistances were evaluated. As a result of this assessment 96% of the people felt that the topics were very useful and 97% of the people felt very good attending to the workshops. 
</t>
  </si>
  <si>
    <t>At least one family member out of 15,000 households have knowledge of climate threats and adaptation measures</t>
  </si>
  <si>
    <t>Output 1.1.2</t>
  </si>
  <si>
    <t>Awareness raised at community level of climate change threats</t>
  </si>
  <si>
    <t>Limited awareness by parishes of climate threats and local responses</t>
  </si>
  <si>
    <t>By the end of the project at least 30% of households (4,500) perceive to have increase their awareness on climate change threats through two awareness campaigns (one for the CCRJ and one for GADPP) which have been established and implemented</t>
  </si>
  <si>
    <t>Output 1.1.3</t>
  </si>
  <si>
    <t>Food security training plan integrated within the adaptation training programs, with gender considerations.</t>
  </si>
  <si>
    <t>Neither adaptation plans have integrated food security component, nor any development plans</t>
  </si>
  <si>
    <t>44 Adaptation Plans have been developed with focus on food security and gender, taking into account the results of the vulnerability assessments. A training plan has been developed for the implementation of the measures in each working area. Themes such as gender and food security approach and specific consideration have been included in the plans. Building capacity events in all are designed in order to address these issues.</t>
  </si>
  <si>
    <t>All the developed adaptation plans, include a food security training plan
The project the training plan on food security has been implemented with gender(at least 40% of the participants in the training programs are women)</t>
  </si>
  <si>
    <t>Outcome 1.2</t>
  </si>
  <si>
    <t>Number of planning frameworks at local level include change adaptation considerations</t>
  </si>
  <si>
    <t>Each of the targeted local government has a development plan, that includes environmental issues, but it does not include adaptation measures</t>
  </si>
  <si>
    <t>All the targeted local government have incorporated climate change variability and adaptation considerations</t>
  </si>
  <si>
    <t>Number of parishes with adaptation plans aligned with local and provincial priorities</t>
  </si>
  <si>
    <t>Each local government by law must have a development plan. These plans include environmental issues</t>
  </si>
  <si>
    <t>50 parishes have developed their adaptation plans, aligned with local and provincial priorities, are used as a decision making tool</t>
  </si>
  <si>
    <t>Number of adaptation plans, developed with community participation.</t>
  </si>
  <si>
    <t>There are no climate change adaptation plans developed with active community participation</t>
  </si>
  <si>
    <t>45 Adaptation Plans were developed with a participatory approach of local people and authorities through 47 workshops. These workshopes had 50% of women attendance. The Adaptation Plans focus on building adaptive capacity and considering vulnerability reduction of food security and gender empowerment. The plans were built based on the vulnerability assessment made for each parish and aligned to local priorities.</t>
  </si>
  <si>
    <t xml:space="preserve">50 parishes have participated in the adaptation plan development, with  50% of women in parishes participating </t>
  </si>
  <si>
    <t>Output 1.2.1.</t>
  </si>
  <si>
    <t>Number of local adaptation plans with a vulnerability reduction and food security approach</t>
  </si>
  <si>
    <t>There are no adaptation plans for targeted parishes with this focus</t>
  </si>
  <si>
    <t>45 Adaptation Plans were developed with the participation of local people and authorities through 47 workshops. The Adaptation Plans focus on building adaptive capacity and considering vulnerability reduction of food security and gender empowerment. The plans were built based on the vulnerability assessment made for each parish and aligned to local priorities.</t>
  </si>
  <si>
    <t>All targeted parishes (50) have adaptation plans which incorporate vulnerability reduction and food security solutions</t>
  </si>
  <si>
    <t>Output 1.2.2.</t>
  </si>
  <si>
    <t>Number of parishes and community leaders that participate in the process to develop adaptation plans</t>
  </si>
  <si>
    <t>There are no adaptation plans developed with community participation.</t>
  </si>
  <si>
    <t>50 parishes, including leaders and citizens have actively participated in the adaptation plans development</t>
  </si>
  <si>
    <t>Output 1.2.3.</t>
  </si>
  <si>
    <t>Number of institutions that establish agreements to manage adverse climate change events</t>
  </si>
  <si>
    <t>No agreements in the targeted project area.</t>
  </si>
  <si>
    <t xml:space="preserve">6 Institutional Agreements signed:
MAE-MAGAP-WFP
MAE-CCRJ
MAE-GAD PP
WFP-CCRJ
WFP-GAD PP
32 out of 50 Letter of Agreements were signed for the implementation of adaptation measures:
- CCRJ-Local Governments: 8 written agreements among San Gerardo, Chumblin, Las Nieves, Girón, Tenta, Urdaneta, Guanazán and Shagli
- GADPP-Local Governments: 9 written agreements among Tabacundo, Cangagua, La Esperanza, Oton, Malchingui, Ayora, Azcasubi, Juan Montalvo and Olmedo
- MAE-Local Governments: 22 written agreements among El Tablón, Saraguro, San Sebastian de Yuluc, Lluzhapa, Selva Alegre, Nabón, Abañín, El Progreso, Susudel, San Fernando, Sumaypaba, Chilla, San Felipe de Oña La Asunción, Abdón Calderón, Sharug, Cañaquemada, Uzhcurrumi, Manu, Celen And Cochapata.
</t>
  </si>
  <si>
    <t>At least six agreements signed between interested parties (GADPP, CCRJ, MAE, UNWomen, WFP)  to manage adverse climate change events.
50 parishes sign letter of commitments for the implementation of adaptation measures</t>
  </si>
  <si>
    <t>Output 1.2.4.</t>
  </si>
  <si>
    <t>Number of women that are community leaders with an actively participation in adaptation plans development, and decision making processes</t>
  </si>
  <si>
    <t>Limited participation of women and limited decision making roles</t>
  </si>
  <si>
    <t xml:space="preserve">Women have participated in the vulnerability analysis and in the adaptation plans designs of 45 parishes. 10 case studies (6 in Jubones and 4 in Pichincha) analyzed gender dynamics. Out of the 9.059 people who have participated in capacity building process, 5.114 are women and it represents 56%. 
Gender issues are integrated into all products, results, goals and indicators of the project.
Additionally UN Woman provides technical assistance to incorporate gender in the implementation and monitoring for the adaptation measures to climate change. </t>
  </si>
  <si>
    <t>Women (at least 40%) involved in decision making in all parishes</t>
  </si>
  <si>
    <t>Outcome 1.3.</t>
  </si>
  <si>
    <t>Disaster preparedness score</t>
  </si>
  <si>
    <t>Limited disaster preparedness knowledge in local governments of targeted parishes</t>
  </si>
  <si>
    <t>Disaster preparedness score equal to or greater than 7, indicating local government capacity in disaster preparedness ad food security information with WFP support</t>
  </si>
  <si>
    <t>Percentage of climatic information systems that meet national and/or international meteorological standards that are used on place</t>
  </si>
  <si>
    <t>No climatic information systems to cope with main disasters on place</t>
  </si>
  <si>
    <t>Systems in place to cover targeted parishes (50) so they take appropriate response actions following protocols</t>
  </si>
  <si>
    <t>Output 1.3.1.</t>
  </si>
  <si>
    <t xml:space="preserve">Number of climatic information systems in place
</t>
  </si>
  <si>
    <t>A climatic information system and climatic meteorological stations, including monitoring of climatic events, are designed and implemented in targeted areas covering needs of 50 targeted parishes</t>
  </si>
  <si>
    <t>Number of vulnerable parish that use data from the climatic information system</t>
  </si>
  <si>
    <t>No parishes  receive climatic data</t>
  </si>
  <si>
    <t>Output 1.3.2.</t>
  </si>
  <si>
    <t>A project results and lessons learned monitoring system</t>
  </si>
  <si>
    <t>No monitoring system</t>
  </si>
  <si>
    <t xml:space="preserve">The monitoring plan and system for the project was designed and approved in 2014. This plan included a module for monitoring adaptation to climate change measures. The Midterm Review gave important inputs for its update which has been incorporated by the time this report was elaborated. Additionally, a new set of tools that complements the ones designed in the beginning of the project have improved the monitoring plan. </t>
  </si>
  <si>
    <t>A monitoring system is designed and implemented to track project
A document with project lesson learned and validated models to be replicated is developed</t>
  </si>
  <si>
    <t>Outcome 2.1.</t>
  </si>
  <si>
    <t>Community adaptation asset score (natural and physical)</t>
  </si>
  <si>
    <t>No adaptive capacity is implemented in the targeted rural parishes</t>
  </si>
  <si>
    <t>50 parishes have reduced their risk and implemented adaptation measures
Asset score threshold set to capture increase (created or restored) in community adaptation assets over base level communities</t>
  </si>
  <si>
    <t>Percentage of households in targeted parishes with increased capacity to manage climate risk desegregated by gender</t>
  </si>
  <si>
    <t>Initial survey of targeted households</t>
  </si>
  <si>
    <t xml:space="preserve">A Food Security Assessment took place for the targeted areas to determine the Food Consumption Score, the Dietary Diversity Index and the Cooping Index plus additional general assessment of food security. The FCS for Jubones is 38% and for Pichincha 32%. On 2016, information has been collected by type of measures and is being processed to reinforce the strategy of incentives with aspects of nutrition and consumption habits.
A base line was defined for project targeted areas considering the Food Security Assessment and the study on gender dynamics. </t>
  </si>
  <si>
    <t>At least one member of each targeted household has received training and increased their understanding of climate risk and management 
50% of the household participants are women</t>
  </si>
  <si>
    <t>Output 2.1.1.</t>
  </si>
  <si>
    <t>Number of parishes that have designed and approved concrete adaptation measures</t>
  </si>
  <si>
    <t>No community activities for climate change adaptation identified and designed the targeted rural parishes</t>
  </si>
  <si>
    <t>50 parishes have  identified and designed at least three concrete adaptation measures</t>
  </si>
  <si>
    <t>Output 2.1.2.</t>
  </si>
  <si>
    <t>Number of adaptation measures (physical assets, natural assets and technologies) implemented at parish level according with vulnerability analysis and adaptation plans</t>
  </si>
  <si>
    <t>Limited number of physical assets, natural assets and technologies in place to face or adapt to climate events</t>
  </si>
  <si>
    <t xml:space="preserve">Adaptation measures are being implemented in 44 parishes (34 in Jubones and 10 in Pichincha). These concrete activities directly benefit 12.693 families.
Out of the 44 measures, 19 are in the initial implementation phase (orientation, targeting of families, development of the baseline, and procurement requirements) and benefit 6.407 families with an investment of $ 1314.218, 33; and 25 are in execution phase with actions at the family level and/or through construction work and benefit a total of 4.901 people with an investment of $ 1.490.082,85. The adaptation measures that are implemented address different topics as it was mentioned above. 
Concrete achivements of these interventions are:
• Construction / improvement of 23 reservoirs that increase water storage capacity by 120,732 m3 in order to produce food in the dry season.
• Improvement of 34 km of critical sections of community irrigation canals to provide small rural farmers with irrigation water.
• 1,850 families improve their life quality by having permanent drinking water.
• 3,023 hectares used for family farming have water for irrigation.
• Incorporation / improvement of agricultural practices to retain soil moisture, create microclimates, attenuate water shortages and diversify diet into at least 4,000 rural family chakras.
Some preliminary effects that were identified with the implementation of the measures are:
- 3.000 families from vulnerable areas have strengthened the management of the chakras, which are for them “source of food and pharmacy" through the incorporation of vegetables, medicinal plants and small animals that at the same time generate savings and monthly income of above 30% of the minimum living wage.
- 250 women-led families reduce the workload in three hours a day thanks to the irrigation system improvement in their chakras.
- 4.750 families located in dry areas have irrigation water supply throughout the year and have increased at least two production cycles in their chakras.
- 860 families produce and apply organic fertilizers generating an annual avoided cost per family of about 60% of the minimum living wage.
- 591 families in livestock areas have improved pasture productivity by 150% and milk production increase by 20%, which improves income and optimizes working time.
</t>
  </si>
  <si>
    <t>50 parishes implemented adaptation measures (physical assets, natural assets, technologies) according to parishes plans.</t>
  </si>
  <si>
    <t>Output 2.1.3.</t>
  </si>
  <si>
    <t>Number of parishes where families receive incentives to implement physical/natural resources assets</t>
  </si>
  <si>
    <t>Incentives has not been implemented before in the targeted project area</t>
  </si>
  <si>
    <t xml:space="preserve">The Project in its logical framework contemplated an incentive mechanism to encourage the participation of the families in the design and implementation of measures. However, the methodology employed and the close work with the GADs enabled the participation of families without resorting incentives.
An incentive mechanism has been proposed in order to reorient and address the challenges presented through the Strengthening, Sustainability Plan for each measure.
The incentive will have the following configuration: The Project supports to overcome the barriers and to improve the subjects Nutritional Food Security of communities under the following conditions a) participants will be trained in Climate Change, Nutritional Security and Gender, b) GAD will submit a plan for adaptation to MAE, c) document life stories. E) Participate in an event of exchange experiences among communities.
In the case of Pichincha, where communities have more proximity to markets, it is intended to improve the commercialization of products with fully support of GAD Pichincha. In addition to strengthening capacity building on food security issues. Under the above logic, incentives should be applied in the final phase of the measures implementation and it is expected to begin in January 2017.
</t>
  </si>
  <si>
    <t>At least 30% of parishes uses incentives to support adaptation measures implementation.</t>
  </si>
  <si>
    <t>Outcome 2.2.</t>
  </si>
  <si>
    <t>Coordination mechanisms among parishes, cantons and/or provincial governments in place</t>
  </si>
  <si>
    <t>Limited coordination among the main involved institutions to implement the adaptation measures</t>
  </si>
  <si>
    <t xml:space="preserve">There are written  agreements with 39 local governments for the implementation of adaptation measures:
- CCRJ-Local Governments: 7 written agreements: San Gerardo, Chumblin, Las Nieves,  Tenta, Urdaneta, Guanazán and Shagli
- GADPP-Local Governments: 10 written agreements: Tabacundo, Cangagua, La Esperanza, Oton, Malchingui, Ayora, Azcasubi, Juan Montalvo, Olmedo, Cuzubamba
- MAE-Local Governments.- 22 written agreements: El Tablón, Saraguro, San Sebastian de Yuluc, Lluzhapa, Selva Alegre, Nabón, Abañín, El Progreso, Susudel, San Fernando, Sumaypaba, Chilla, San Felipe de Oña, La Asunción, Abdón Calderón, Sharug, Cañaquemada, Uzhcurrumi, Manu, Celén,  and Cochapata.
</t>
  </si>
  <si>
    <t>There is a  letter of interest among all the involved entities to manage jointly climate change risks in the targeted parishes.</t>
  </si>
  <si>
    <t>Percentage of local governments and key stakeholders at national, provincial and local level that access project´s climate change relevant information</t>
  </si>
  <si>
    <t>Climate change and variability information is insufficient and not up-dated
Access is limited</t>
  </si>
  <si>
    <t xml:space="preserve">The information generated by the Project has been share to all the stakeholders involved, especially with all the local governments involved. Another type of access to information is through the MAE website in order to share summaries of the news and products generated by the project. The summary of the vulnerability analysis, adaptation plans and approved measures have been shared on the website (see Annex 1 for a further information).
For COP 2016, the Minister of the Environment conducted negotiations through adaptation projects based on the adaptation processes that Ecuador has launched under the theme of climate justice for the most vulnerable countries whose emission sources are minimal but where Impacts of climate change are more intense.
In this international event, FORECCSA project materials were presented at the Ecuadorian stand: A testimonial video, a video with technical information, a presentation of resilient agriculture and landscapes, 6 radio spots on climate change, food security and gender. Finally a summary of the achievements of the Project to date and promotional material in Spanish and English.
</t>
  </si>
  <si>
    <t>At least 60% of project stakeholders are able to access to up-dated information</t>
  </si>
  <si>
    <t>Output 2.2.1.</t>
  </si>
  <si>
    <t>Parishes agree and support with decisions taken</t>
  </si>
  <si>
    <t>Limited community participation on decision making processes</t>
  </si>
  <si>
    <t xml:space="preserve">Community participation improved significantly since 2014 as a result of the participatory methodologies that were used for developing the vulnerability analysis, adaptation plans and adaptation measures.
From 2015 and during 2016, community participation was maintained during the implementation of adaptation measures as an opportunity to strength local participation as the activities are focused on household lands and it is accompanied with capacity and awareness activities with families. The targeting was a great opportunity to establish commitments with families and assure long-term participation where 56% of the participants were women. 
</t>
  </si>
  <si>
    <t>All of the proposed activities in the project have a participatory implementation strategy
50% of the participants are women.</t>
  </si>
  <si>
    <t>Output 2.2.2.</t>
  </si>
  <si>
    <t>Number of workshops to disseminate de information</t>
  </si>
  <si>
    <t>No documented information available</t>
  </si>
  <si>
    <t>Each of the targeted parishes has by the end of the project documented their experience the lessons learn in at least one event.</t>
  </si>
  <si>
    <t>Number of visits to other parishes, not targeted in this project, to disseminate the information</t>
  </si>
  <si>
    <t>No visits have been carried out</t>
  </si>
  <si>
    <t xml:space="preserve">FORECCSA project has been shown in 7 national and international events. At the international level, it has been exposed in 3 relevant events: In Marrakesh, COP22 the Minister of the Environment of Ecuador took the project as a reference of as a successful experience for climate change adaptation in vulnerable communities. In Guatemala, at the Euro clima Regional Workshop: Agro biodiversity and Gender, the project presented experiences of working with indigenous communities with a gender focus. Finally in Colombia at the Regional Workshop on Exchange of Experiences and Capacity Building for the Elaboration of National Adaptation Plans (PNACC). Ecuador through FORECCSA has marked a milestone in the region by applying public policies on climate issues to empower local communities and provide them with tools that help them to be more resilient to climate change.
As for the national events, 4 events have been developed, most relevant Habitat III, where the Minister of the Environment once again presented FORECCSA in a side event call “cities resilient to climate change”. Other spaces for the exchange of experiences were: Capacity Building Workshop on Climate Change for technicians from the MAE-MAGAP-GADPI of the province of Imbabura. Visit of the Executive Board of the WFP, talks at the International University of Ecuador and UDLA. Fan trip for journalists prior COP in order to show adaptation measures of FORECCSA in the Province of Pichincha. Day of food sovereignty event. As a communication strategy, FORECCSA has a bulletin that is updated quarterly and informational videos.
</t>
  </si>
  <si>
    <t>At least two exchange of experiences programs in each targeted area are carried out documented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</si>
  <si>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</si>
  <si>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</si>
  <si>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</si>
  <si>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</si>
  <si>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</si>
  <si>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</si>
  <si>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WFP</t>
  </si>
  <si>
    <t>Type of implementing entity</t>
  </si>
  <si>
    <t>MIE</t>
  </si>
  <si>
    <t>Country</t>
  </si>
  <si>
    <t>Region</t>
  </si>
  <si>
    <t>Latin America and Caribbean</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</si>
  <si>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</si>
  <si>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</si>
  <si>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</si>
  <si>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</si>
  <si>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</si>
  <si>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</si>
  <si>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</si>
  <si>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</si>
  <si>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</si>
  <si>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</si>
  <si>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</si>
  <si>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</si>
  <si>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</si>
  <si>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</si>
  <si>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</si>
  <si>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</si>
  <si>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</si>
  <si>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</si>
  <si>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</si>
  <si>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</si>
  <si>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</si>
  <si>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</si>
  <si>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</si>
  <si>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</si>
  <si>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</si>
  <si>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</si>
  <si>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</si>
  <si>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Local</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</si>
  <si>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</si>
  <si>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</si>
  <si>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</si>
  <si>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</si>
  <si>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</si>
  <si>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</si>
  <si>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3: Dissemination and communication</t>
  </si>
  <si>
    <t>Geographical coverage</t>
  </si>
  <si>
    <t>Number of municipalities</t>
  </si>
  <si>
    <t>1: Risk knowledge</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</si>
  <si>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</si>
  <si>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</si>
  <si>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</si>
  <si>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</si>
  <si>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1: No capacity</t>
  </si>
  <si>
    <t>4: High capacity</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</si>
  <si>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</si>
  <si>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</si>
  <si>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</si>
  <si>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</si>
  <si>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</si>
  <si>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</si>
  <si>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</si>
  <si>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</si>
  <si>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</si>
  <si>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</si>
  <si>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</si>
  <si>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</si>
  <si>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</si>
  <si>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</si>
  <si>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</si>
  <si>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</si>
  <si>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</si>
  <si>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</si>
  <si>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</si>
  <si>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</si>
  <si>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</si>
  <si>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</si>
  <si>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</si>
  <si>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</si>
  <si>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1: Non responsive (Lacks all elements )</t>
  </si>
  <si>
    <t>4: Mostly responsive (Most defined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</si>
  <si>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</si>
  <si>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</si>
  <si>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</si>
  <si>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</si>
  <si>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5: Fully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</si>
  <si>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</si>
  <si>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</si>
  <si>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</si>
  <si>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Local Climate Information System - Jubones Basin</t>
  </si>
  <si>
    <t>Local Climate Infomation System - Jubones Basin</t>
  </si>
  <si>
    <t>Weather Stations incorporeted within Meteorological Network</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</si>
  <si>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</si>
  <si>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</si>
  <si>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</si>
  <si>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</si>
  <si>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</si>
  <si>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</si>
  <si>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</si>
  <si>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</si>
  <si>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</si>
  <si>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</si>
  <si>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Catchment area/Watershed/Aquifer</t>
  </si>
  <si>
    <t>km rehabilitated</t>
  </si>
  <si>
    <t>2: Partially effective</t>
  </si>
  <si>
    <t>Cultivated land/Agricultural land</t>
  </si>
  <si>
    <t>ha rehabilitated</t>
  </si>
  <si>
    <t>5: Very effective</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</si>
  <si>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</si>
  <si>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</si>
  <si>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</si>
  <si>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</si>
  <si>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</si>
  <si>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</si>
  <si>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1: No improvement</t>
  </si>
  <si>
    <t>3: Moderate improvement</t>
  </si>
  <si>
    <t>Indicator 6.2: Increase in targeted population's sustained climate-resilient alternative livelihoods</t>
  </si>
  <si>
    <t>% increase in income level vis-à-vis baseline</t>
  </si>
  <si>
    <t>Alternate Source</t>
  </si>
  <si>
    <t>Agriculture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</si>
  <si>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</si>
  <si>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</si>
  <si>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</si>
  <si>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</si>
  <si>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</si>
  <si>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</si>
  <si>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</si>
  <si>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</si>
  <si>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</si>
  <si>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</si>
  <si>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</si>
  <si>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</si>
  <si>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</si>
  <si>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</si>
  <si>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1: None</t>
  </si>
  <si>
    <t>4: Most</t>
  </si>
  <si>
    <t>2: Most not integrated</t>
  </si>
  <si>
    <t>Output 7:Improved integration of climate-resilience strategies into country development plans</t>
  </si>
  <si>
    <t>Indicator 7.1: No. of policies introduced or adjusted to address climate change risks</t>
  </si>
  <si>
    <t>No. of Policies introduced or adjusted</t>
  </si>
  <si>
    <t>National</t>
  </si>
  <si>
    <t>Environmental policy</t>
  </si>
  <si>
    <t>Indicator 7.2: No. of targeted development strategies with incorporated climate change priorities enforced</t>
  </si>
  <si>
    <t>No. of Development strategies</t>
  </si>
  <si>
    <t>Regulation</t>
  </si>
  <si>
    <t>Effectiveness</t>
  </si>
  <si>
    <t>1: Not enforced (No elements implemented)</t>
  </si>
  <si>
    <t>4: Enforced (Most elements implemented)</t>
  </si>
  <si>
    <t>2: Partially not enforced (Most elements not implemented)</t>
  </si>
  <si>
    <t>3: Moderately effective</t>
  </si>
  <si>
    <t xml:space="preserve"> Fund Outcome Indicator Units</t>
  </si>
  <si>
    <r>
      <rPr>
        <b/>
        <sz val="11"/>
        <color theme="1"/>
        <rFont val="Times New Roman"/>
        <family val="1"/>
      </rPr>
      <t xml:space="preserve">1. </t>
    </r>
    <r>
      <rPr>
        <sz val="11"/>
        <color theme="1"/>
        <rFont val="Times New Roman"/>
        <family val="1"/>
      </rPr>
      <t xml:space="preserve">Generation of relevant data, Stakeholders, and Timeliness 
</t>
    </r>
    <r>
      <rPr>
        <b/>
        <sz val="11"/>
        <color theme="1"/>
        <rFont val="Times New Roman"/>
        <family val="1"/>
      </rPr>
      <t>2.1.</t>
    </r>
    <r>
      <rPr>
        <sz val="11"/>
        <color theme="1"/>
        <rFont val="Times New Roman"/>
        <family val="1"/>
      </rPr>
      <t xml:space="preserve"> Include both qualitative and quantitative measures of capacity level within targeted institutions
</t>
    </r>
    <r>
      <rPr>
        <b/>
        <sz val="11"/>
        <color theme="1"/>
        <rFont val="Times New Roman"/>
        <family val="1"/>
      </rPr>
      <t xml:space="preserve">2.2. </t>
    </r>
    <r>
      <rPr>
        <sz val="11"/>
        <color theme="1"/>
        <rFont val="Times New Roman"/>
        <family val="1"/>
      </rPr>
      <t xml:space="preserve">Number (men and women and other vulnerable groups)
</t>
    </r>
    <r>
      <rPr>
        <b/>
        <sz val="11"/>
        <color theme="1"/>
        <rFont val="Times New Roman"/>
        <family val="1"/>
      </rPr>
      <t>3.1.</t>
    </r>
    <r>
      <rPr>
        <sz val="11"/>
        <color theme="1"/>
        <rFont val="Times New Roman"/>
        <family val="1"/>
      </rPr>
      <t xml:space="preserve"> Use scale from 1 to 5: 5: Fully aware 4: Mostly aware 3: Partially aware 2: Partially not aware 1: Aware of neither predicted adverse impacts of climate change nor of appropriate responses
</t>
    </r>
    <r>
      <rPr>
        <b/>
        <sz val="11"/>
        <color theme="1"/>
        <rFont val="Times New Roman"/>
        <family val="1"/>
      </rPr>
      <t xml:space="preserve">3.2. </t>
    </r>
    <r>
      <rPr>
        <sz val="11"/>
        <color theme="1"/>
        <rFont val="Times New Roman"/>
        <family val="1"/>
      </rPr>
      <t xml:space="preserve">Use scale from 1 to 5:  5: All 4: Almost all 3: Half 2: Some 1: None
</t>
    </r>
    <r>
      <rPr>
        <b/>
        <sz val="11"/>
        <color theme="1"/>
        <rFont val="Times New Roman"/>
        <family val="1"/>
      </rPr>
      <t>4.1.</t>
    </r>
    <r>
      <rPr>
        <sz val="11"/>
        <color theme="1"/>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1"/>
        <color theme="1"/>
        <rFont val="Times New Roman"/>
        <family val="1"/>
      </rPr>
      <t>4.2.</t>
    </r>
    <r>
      <rPr>
        <sz val="11"/>
        <color theme="1"/>
        <rFont val="Times New Roman"/>
        <family val="1"/>
      </rPr>
      <t xml:space="preserve">  Summarize in an overall scale (1-5):  5: Fully improved 4: Mostly Improved 3: Moderately improved 2: Somewhat improved
1: Not improved                                                                                                                                                                                                                           </t>
    </r>
    <r>
      <rPr>
        <b/>
        <sz val="11"/>
        <color theme="1"/>
        <rFont val="Times New Roman"/>
        <family val="1"/>
      </rPr>
      <t>5.</t>
    </r>
    <r>
      <rPr>
        <sz val="11"/>
        <color theme="1"/>
        <rFont val="Times New Roman"/>
        <family val="1"/>
      </rPr>
      <t xml:space="preserve">  Depends on the targeted natural asset: 
</t>
    </r>
    <r>
      <rPr>
        <i/>
        <sz val="11"/>
        <color theme="1"/>
        <rFont val="Times New Roman"/>
        <family val="1"/>
      </rPr>
      <t>Biological (species):</t>
    </r>
    <r>
      <rPr>
        <sz val="11"/>
        <color theme="1"/>
        <rFont val="Times New Roman"/>
        <family val="1"/>
      </rPr>
      <t xml:space="preserve"> measure through changes in population numbers (dynamics, structure, etc.)
</t>
    </r>
    <r>
      <rPr>
        <i/>
        <sz val="11"/>
        <color theme="1"/>
        <rFont val="Times New Roman"/>
        <family val="1"/>
      </rPr>
      <t xml:space="preserve">Land: </t>
    </r>
    <r>
      <rPr>
        <sz val="11"/>
        <color theme="1"/>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1"/>
        <color theme="1"/>
        <rFont val="Times New Roman"/>
        <family val="1"/>
      </rPr>
      <t>6.1.</t>
    </r>
    <r>
      <rPr>
        <sz val="11"/>
        <color theme="1"/>
        <rFont val="Times New Roman"/>
        <family val="1"/>
      </rPr>
      <t xml:space="preserve">  Summarize in an overall scale (1-5):  5: Very high improvement 4: High improvement 3: Moderate improvement 2: Limited improvement 1: No improvement                                                                                                                                                                                                                                                         </t>
    </r>
    <r>
      <rPr>
        <b/>
        <sz val="11"/>
        <color theme="1"/>
        <rFont val="Times New Roman"/>
        <family val="1"/>
      </rPr>
      <t xml:space="preserve">6.2. </t>
    </r>
    <r>
      <rPr>
        <sz val="11"/>
        <color theme="1"/>
        <rFont val="Times New Roman"/>
        <family val="1"/>
      </rPr>
      <t xml:space="preserve"> Household income by source of livelihood in project area (USD) prior and post project intervention                                                                                                                                                                                                                                                      </t>
    </r>
    <r>
      <rPr>
        <b/>
        <sz val="11"/>
        <color theme="1"/>
        <rFont val="Times New Roman"/>
        <family val="1"/>
      </rPr>
      <t>7.</t>
    </r>
    <r>
      <rPr>
        <sz val="11"/>
        <color theme="1"/>
        <rFont val="Times New Roman"/>
        <family val="1"/>
      </rPr>
      <t xml:space="preserve"> Summarize in an overall scale (1-5).  5: All (Fully integrated) 4: Most 3: Some 2: Most not integrated 1: None</t>
    </r>
  </si>
  <si>
    <t>Fund Output Indicator Units</t>
  </si>
  <si>
    <r>
      <rPr>
        <b/>
        <sz val="11"/>
        <color theme="1"/>
        <rFont val="Times New Roman"/>
        <family val="1"/>
      </rPr>
      <t>1.1.</t>
    </r>
    <r>
      <rPr>
        <sz val="11"/>
        <color theme="1"/>
        <rFont val="Times New Roman"/>
        <family val="1"/>
      </rPr>
      <t xml:space="preserve">  Number, sector(s) and level(s) of projects or interventions in separate fields of monitoring plan                                                                                  </t>
    </r>
    <r>
      <rPr>
        <b/>
        <sz val="11"/>
        <color theme="1"/>
        <rFont val="Times New Roman"/>
        <family val="1"/>
      </rPr>
      <t xml:space="preserve">1.2. </t>
    </r>
    <r>
      <rPr>
        <sz val="11"/>
        <color theme="1"/>
        <rFont val="Times New Roman"/>
        <family val="1"/>
      </rPr>
      <t xml:space="preserve">Number
</t>
    </r>
    <r>
      <rPr>
        <b/>
        <sz val="11"/>
        <color theme="1"/>
        <rFont val="Times New Roman"/>
        <family val="1"/>
      </rPr>
      <t>2.1.1.</t>
    </r>
    <r>
      <rPr>
        <sz val="11"/>
        <color theme="1"/>
        <rFont val="Times New Roman"/>
        <family val="1"/>
      </rPr>
      <t xml:space="preserve"> Number of staff (male/female) of targeted institutions: a. Obtain baseline information: total number of staff from targeted institutions b. Define target
</t>
    </r>
    <r>
      <rPr>
        <b/>
        <sz val="11"/>
        <color theme="1"/>
        <rFont val="Times New Roman"/>
        <family val="1"/>
      </rPr>
      <t>2.1.2.</t>
    </r>
    <r>
      <rPr>
        <sz val="11"/>
        <color theme="1"/>
        <rFont val="Times New Roman"/>
        <family val="1"/>
      </rPr>
      <t xml:space="preserve"> Number of staff (male/female) of targeted institutions: a. Obtain baseline information: total number of staff from targeted institutions b. Define target: needs to be defined by project proponents
</t>
    </r>
    <r>
      <rPr>
        <b/>
        <sz val="11"/>
        <color theme="1"/>
        <rFont val="Times New Roman"/>
        <family val="1"/>
      </rPr>
      <t xml:space="preserve">2.2.1. </t>
    </r>
    <r>
      <rPr>
        <i/>
        <sz val="11"/>
        <color theme="1"/>
        <rFont val="Times New Roman"/>
        <family val="1"/>
      </rPr>
      <t>Quantitative:</t>
    </r>
    <r>
      <rPr>
        <sz val="11"/>
        <color theme="1"/>
        <rFont val="Times New Roman"/>
        <family val="1"/>
      </rPr>
      <t xml:space="preserve"> Percentage (includes women – and other vulnerable groups – and men).
</t>
    </r>
    <r>
      <rPr>
        <i/>
        <sz val="11"/>
        <color theme="1"/>
        <rFont val="Times New Roman"/>
        <family val="1"/>
      </rPr>
      <t>Qualitative:</t>
    </r>
    <r>
      <rPr>
        <sz val="11"/>
        <color theme="1"/>
        <rFont val="Times New Roman"/>
        <family val="1"/>
      </rPr>
      <t xml:space="preserve"> Adequacy: include direct analysis of major areas; adequacy/effectiveness of systems or analysis of perceptions of populations and institutions.</t>
    </r>
    <r>
      <rPr>
        <b/>
        <sz val="11"/>
        <color theme="1"/>
        <rFont val="Times New Roman"/>
        <family val="1"/>
      </rPr>
      <t xml:space="preserve">
2.2.2.</t>
    </r>
    <r>
      <rPr>
        <sz val="11"/>
        <color theme="1"/>
        <rFont val="Times New Roman"/>
        <family val="1"/>
      </rPr>
      <t xml:space="preserve"> Number (broken down by gender and, if possible, by vulnerable groups defined in the area of intervention) of people                                                                                                        </t>
    </r>
    <r>
      <rPr>
        <b/>
        <sz val="11"/>
        <color theme="1"/>
        <rFont val="Times New Roman"/>
        <family val="1"/>
      </rPr>
      <t xml:space="preserve">3.1. </t>
    </r>
    <r>
      <rPr>
        <sz val="11"/>
        <color theme="1"/>
        <rFont val="Times New Roman"/>
        <family val="1"/>
      </rPr>
      <t xml:space="preserve">Number and type (in separate columns) at local level.                                                                                                                                    </t>
    </r>
    <r>
      <rPr>
        <b/>
        <sz val="11"/>
        <color theme="1"/>
        <rFont val="Times New Roman"/>
        <family val="1"/>
      </rPr>
      <t xml:space="preserve">3.2. </t>
    </r>
    <r>
      <rPr>
        <sz val="11"/>
        <color theme="1"/>
        <rFont val="Times New Roman"/>
        <family val="1"/>
      </rPr>
      <t xml:space="preserve">Number                                                                                                                                                                                                                                     </t>
    </r>
    <r>
      <rPr>
        <b/>
        <sz val="11"/>
        <color theme="1"/>
        <rFont val="Times New Roman"/>
        <family val="1"/>
      </rPr>
      <t>4.1.</t>
    </r>
    <r>
      <rPr>
        <sz val="11"/>
        <color theme="1"/>
        <rFont val="Times New Roman"/>
        <family val="1"/>
      </rPr>
      <t xml:space="preserve"> Number and type                                                                                                                                                                                                               </t>
    </r>
    <r>
      <rPr>
        <b/>
        <sz val="11"/>
        <color theme="1"/>
        <rFont val="Times New Roman"/>
        <family val="1"/>
      </rPr>
      <t xml:space="preserve">4. 2. </t>
    </r>
    <r>
      <rPr>
        <sz val="11"/>
        <color theme="1"/>
        <rFont val="Times New Roman"/>
        <family val="1"/>
      </rPr>
      <t xml:space="preserve"> Number and type (entered in separate columns)                                                                                                                                                     </t>
    </r>
    <r>
      <rPr>
        <b/>
        <sz val="11"/>
        <color theme="1"/>
        <rFont val="Times New Roman"/>
        <family val="1"/>
      </rPr>
      <t>5.</t>
    </r>
    <r>
      <rPr>
        <sz val="11"/>
        <color theme="1"/>
        <rFont val="Times New Roman"/>
        <family val="1"/>
      </rPr>
      <t xml:space="preserve">  Number of interventions by type of natural asset and intervention                                                                                                                    </t>
    </r>
    <r>
      <rPr>
        <b/>
        <sz val="11"/>
        <color theme="1"/>
        <rFont val="Times New Roman"/>
        <family val="1"/>
      </rPr>
      <t>6.1.</t>
    </r>
    <r>
      <rPr>
        <sz val="11"/>
        <color theme="1"/>
        <rFont val="Times New Roman"/>
        <family val="1"/>
      </rPr>
      <t xml:space="preserve">  Number and type (in separate columns of monitoring plan)                                                                                                                                                                                                                                                    </t>
    </r>
    <r>
      <rPr>
        <b/>
        <sz val="11"/>
        <color theme="1"/>
        <rFont val="Times New Roman"/>
        <family val="1"/>
      </rPr>
      <t xml:space="preserve">6.2. </t>
    </r>
    <r>
      <rPr>
        <sz val="11"/>
        <color theme="1"/>
        <rFont val="Times New Roman"/>
        <family val="1"/>
      </rPr>
      <t xml:space="preserve">Income sources per household; description of income source and number of households.                                                                                                                                                                                                                                                     </t>
    </r>
    <r>
      <rPr>
        <b/>
        <sz val="11"/>
        <color theme="1"/>
        <rFont val="Times New Roman"/>
        <family val="1"/>
      </rPr>
      <t xml:space="preserve">7.1. </t>
    </r>
    <r>
      <rPr>
        <sz val="11"/>
        <color theme="1"/>
        <rFont val="Times New Roman"/>
        <family val="1"/>
      </rPr>
      <t xml:space="preserve"> Number/Sector                                                                                                                                                                                                                                                   </t>
    </r>
    <r>
      <rPr>
        <b/>
        <sz val="11"/>
        <color theme="1"/>
        <rFont val="Times New Roman"/>
        <family val="1"/>
      </rPr>
      <t xml:space="preserve">7.2. </t>
    </r>
    <r>
      <rPr>
        <sz val="11"/>
        <color theme="1"/>
        <rFont val="Times New Roman"/>
        <family val="1"/>
      </rPr>
      <t>Number; Effectiveness (see previous indicator) through enforcement level.</t>
    </r>
  </si>
  <si>
    <t>ANNEX 1 - LIST OF PRODUCTS</t>
  </si>
  <si>
    <t>Document</t>
  </si>
  <si>
    <t>Date of Publishing</t>
  </si>
  <si>
    <t>Gender Mainstreaming Strategy</t>
  </si>
  <si>
    <t>January 2013</t>
  </si>
  <si>
    <t>Capacity Development Strategy</t>
  </si>
  <si>
    <t>April 2013</t>
  </si>
  <si>
    <t>Case Studies on Gender Assessment</t>
  </si>
  <si>
    <t>July 2013</t>
  </si>
  <si>
    <t>Adapted Methodology for Vulnerability Analysis</t>
  </si>
  <si>
    <t>November 2013</t>
  </si>
  <si>
    <t>WFP Project Theory of Change</t>
  </si>
  <si>
    <t>Baseline Scenario</t>
  </si>
  <si>
    <t>February 2014</t>
  </si>
  <si>
    <t>Executive summary of vulnerability studies conducted in the Jubones River Basin and Pichincha Province</t>
  </si>
  <si>
    <t>April 2014</t>
  </si>
  <si>
    <t>Profiles of climate change adaptation measures with focus on food security for 33 parishes</t>
  </si>
  <si>
    <t>May 2014</t>
  </si>
  <si>
    <t>Monitoring and Evaluation Plan for the project "Enhancing Resilience of Communities to the adverse effects of climate change on food security in Pichincha Province and the Jubones River Basic"</t>
  </si>
  <si>
    <t>July 2014</t>
  </si>
  <si>
    <t>Design of the Awareness Campaign for climate change, food security, and gender for the Jubones River Basin</t>
  </si>
  <si>
    <t>August 2014</t>
  </si>
  <si>
    <t>Design of Weather Stations System in the cantons of Cayambe and Pedro Moncayo (Pichincha)</t>
  </si>
  <si>
    <t>October 2014</t>
  </si>
  <si>
    <t>Methodology for Vulnerability Study</t>
  </si>
  <si>
    <t>Vulnerability Studies for 45 parishes</t>
  </si>
  <si>
    <t>November 2014</t>
  </si>
  <si>
    <t>Adaptation Plans for 45 parishes</t>
  </si>
  <si>
    <t>Diagnostic assessment of the Climate Alert System for food security of the Jubones River Basin</t>
  </si>
  <si>
    <t xml:space="preserve">Adaptation measures approved for 8 parishes (7 in the Jubones River Basin and 1 in Pichincha) </t>
  </si>
  <si>
    <t>Second semester of 2014</t>
  </si>
  <si>
    <t>Four local radio programs on climate change, food security and gender</t>
  </si>
  <si>
    <t>January 2015</t>
  </si>
  <si>
    <t>Training plan on climate change, food security and gender for Pichincha province</t>
  </si>
  <si>
    <t>February 2015</t>
  </si>
  <si>
    <t>Report of Awareness Campaign for climate change, food security, and gender for the Jubones River Basin</t>
  </si>
  <si>
    <t>Fisrt quarter of 2015</t>
  </si>
  <si>
    <t>Design of the Climate Alert System for food security of the Jubones River Bain</t>
  </si>
  <si>
    <t xml:space="preserve">Trainning Plan to implement the Climate Alert System for food security of the Jubones River Basin </t>
  </si>
  <si>
    <t>June 2015</t>
  </si>
  <si>
    <t>Gender Training Plan for project staff and local technicians</t>
  </si>
  <si>
    <t>Gender Baseline Study for the Jubones River Basin</t>
  </si>
  <si>
    <t>August 2015</t>
  </si>
  <si>
    <t>Methodology for an operational research to analyze effects of the applicationof gender mainstraming tools.</t>
  </si>
  <si>
    <t>September 2015</t>
  </si>
  <si>
    <t>Methodology to include gender maintraimng in the adaptation to climatechange measures</t>
  </si>
  <si>
    <t>Gender Monitoring Plan (indicators and tools)</t>
  </si>
  <si>
    <t>Design of triptychs and other promotional material for FORECCSA Project</t>
  </si>
  <si>
    <t xml:space="preserve"> November 2015</t>
  </si>
  <si>
    <t>Sistematization of training results including analysis of behaivior changes</t>
  </si>
  <si>
    <t>December 2015</t>
  </si>
  <si>
    <t>Vulnerability Assessment of Food Security due to Climate Change in the Jubones River Basin</t>
  </si>
  <si>
    <t xml:space="preserve">Adaptation measures approved for 26 parishes (17 in the Jubones River Basin and 9 in Pichincha) </t>
  </si>
  <si>
    <t>All 2015</t>
  </si>
  <si>
    <t>Climate analysis that includes a Climate Alert System module for the Jubones River Basin  (data and forecast)</t>
  </si>
  <si>
    <t>April 2016</t>
  </si>
  <si>
    <t xml:space="preserve">Traditional Andean cookbook </t>
  </si>
  <si>
    <t>May 2016</t>
  </si>
  <si>
    <t>Information and communication module for the Climate Alert System of the Jubones river basin</t>
  </si>
  <si>
    <t>September 2016</t>
  </si>
  <si>
    <t>Testimonal video of FORECCSA projetc</t>
  </si>
  <si>
    <t>November 2016</t>
  </si>
  <si>
    <t xml:space="preserve">Video with technical information about FORECCSA project </t>
  </si>
  <si>
    <t>Four pager FORECCSA Project, WFP, first issue: October 2015 (updated quarterly, last update October 2016)</t>
  </si>
  <si>
    <t>Training plan based on adaptation measures of eight typologies implemented in the Jubones river basin</t>
  </si>
  <si>
    <t>Design of a proposal based on incentives to reinforce food security and gender considerations in the implementation of adaptation measures of Jubones river basin.</t>
  </si>
  <si>
    <t>Report of the training implementation plan for the Jubones Climate Alert System</t>
  </si>
  <si>
    <t>Plan to reinforce gender mainstreaming approach in the FORECCSA project.</t>
  </si>
  <si>
    <t xml:space="preserve">Monthly report to the follow up the adaptations measures </t>
  </si>
  <si>
    <t>All 2016</t>
  </si>
  <si>
    <t xml:space="preserve">Adaptation measures approved for 10  parishes  (9 in the Jubones River Basin and 1 in Pichincha) </t>
  </si>
  <si>
    <t>ANNEX 2 - STATUS OF CONCRETE ADAPTATION MEASURES</t>
  </si>
  <si>
    <t>Province</t>
  </si>
  <si>
    <t>PARISH</t>
  </si>
  <si>
    <t>Description</t>
  </si>
  <si>
    <t>No. families</t>
  </si>
  <si>
    <t>Amount</t>
  </si>
  <si>
    <t>Executing Partner</t>
  </si>
  <si>
    <t>Dates</t>
  </si>
  <si>
    <t>Phase of Design / Implementation</t>
  </si>
  <si>
    <t>Approval Date</t>
  </si>
  <si>
    <t>Begin Date</t>
  </si>
  <si>
    <t>Identification</t>
  </si>
  <si>
    <t>Design</t>
  </si>
  <si>
    <t>Approval</t>
  </si>
  <si>
    <t>Socialization and targeting</t>
  </si>
  <si>
    <t>Base Line</t>
  </si>
  <si>
    <t>Procurement</t>
  </si>
  <si>
    <t>Execution</t>
  </si>
  <si>
    <t>Closure</t>
  </si>
  <si>
    <t>AZUAY</t>
  </si>
  <si>
    <t>Las Nieves</t>
  </si>
  <si>
    <t>Improvement of water retention capacity in the soil with emphasis in community’s agricultural areas that have high vulnerability to drought.</t>
  </si>
  <si>
    <t>The adaptation measure has culminated its actions during this year. On 2017, a participatory incentive strategies will be implemented together with GADs and the local organizations. As a result of measure implementation it was possible to improve 230 family chacras through the use of organic manure and the implementation of good practices for soil cover improvement. This practices allowed the capacity of soil moisture retention capacity in a 14.44% and to increase maize production by 20% and potatoes by 15%. Community training processes benefited 327 people (189 men and 138 women).</t>
  </si>
  <si>
    <t>CCRJ</t>
  </si>
  <si>
    <t>DONE</t>
  </si>
  <si>
    <t>El Progreso</t>
  </si>
  <si>
    <t>Improvement of agricultural production systems through agroforestry practices as a mechanism for adaptation to climate change and the impacts of drought on crop cycles and yields in El Progreso Parish</t>
  </si>
  <si>
    <t>10 workshops were carried out with the communities in order to choose alternatives from the adaptation measure, resulting in 51 families working with forest pasture systems and 72 for agroforestry orchards. A baseline information on how communities use the land was created, potential use and a preliminary design of the plots were also carried out. According to the location and shape of the land a gender tool was applied. Training in Climate Change, Food Security and gender was done. Advice on land management and soil fertilization was given.  Plants, seeds, fertilizers and utensils have been delivered. Monitoring implementation of agroforestry systems is being carried out. Training process in animal health, agroforestry orchards, and biological protection of soil and water conservation was given.</t>
  </si>
  <si>
    <t>MAE</t>
  </si>
  <si>
    <t>In progress</t>
  </si>
  <si>
    <t>Cabecera Cantonal Nabón</t>
  </si>
  <si>
    <t>Water sources protection, improvement of water conduction networks for water irrigation and implementation and improvement of family agroforestry orchards, in communities with high vulnerability to drought in Nabón</t>
  </si>
  <si>
    <t xml:space="preserve">Five socialization and targeting workshops were held, a 105 families decided to implement agroforestry orchards. Collection of information in order to build the project baseline and the contracting process for water sources protection and irrigation system of the Nabón GADM have been started.
Training in climate change, food security, gender, planning of the orchard were done. Agriculture kits have been delivered to families for the implementation of family agroforestry orchards. Monitoring focused in the implementation of family agroforestry orchards was carried out. Installation of 25 parcel irrigation systems were done. Protection of water sources and fruit growing workshops have been given. Baseline orchards, agro-forestry, forest pasture systems, and food security were created. Delivery of inputs for the water sources protection were given.
</t>
  </si>
  <si>
    <t>Cochapata</t>
  </si>
  <si>
    <t>Improvement of community irrigation infrastructure, technical and productive capacities of the farmers of the upper, middle and lower areas of the Cochapata parish, against adverse effects caused by the drought.</t>
  </si>
  <si>
    <t xml:space="preserve">Adaptation measure validated by the local government with backup documents of the agreements. The adaptation measure chosen by the community is the implementation of family agroforestry orchards. On August, a survey to beneficiary families was carried out in order to get first hand information. Acquisition of inputs for orchards implementation is in process. </t>
  </si>
  <si>
    <t>Shaglly</t>
  </si>
  <si>
    <t>Seeds and water sources management in communities with high vulnerability to drought in Shaglli Parish</t>
  </si>
  <si>
    <t xml:space="preserve">The measure has been culminated with the proposed actions. On 2017, a participatory incentive strategies will be implemented together with GADs authorities and the local families.
Thanks to the measure implementation a 150 families have incorporated and managed four varieties of seeds (pea, bean, maize) resistant to drought; 20 water sources have been protected and managed. Community training was given for 418 people (260 men and 158 women).
</t>
  </si>
  <si>
    <t>Abdón Calderón</t>
  </si>
  <si>
    <t>Improvement of the water purification system for human consumption as a strategy to improve the conditions of food security in the parish of "Abdón Calderón</t>
  </si>
  <si>
    <t>A list of users of drinking water users have been made reaching a total of 350 families from the communities. Training has been conducted on climate change, food security, and gender. Construction of the water laboratory for chlorination and its filtration has been completed by the Water Board for human consumption from the local community. The construction of pressurized filters and water chlorination are still pending. On August 2016 the promoters were trained to do data collection in the field. On October 2016, a monitoring and follow-up of measures implementation was made with the GAD.</t>
  </si>
  <si>
    <t>El Carmen de Pijilí</t>
  </si>
  <si>
    <t xml:space="preserve">Improvement of land irrigation and management of minor animals in communities with high vulnerability to generate conditions to adapt to climate change, in order to tackle drought, in Carmen de Pijilí parish. </t>
  </si>
  <si>
    <t xml:space="preserve">The measure will be available fully implemented by the end of 2016. </t>
  </si>
  <si>
    <t>Santa Isabel Cabecera cantonal
(Cañaribamba)</t>
  </si>
  <si>
    <t>Measure not yet designed</t>
  </si>
  <si>
    <t>In this parish a measure will be implemented based on the lessons learned obtained during the project. Its implementation is planned for the beginning of 2017.</t>
  </si>
  <si>
    <t xml:space="preserve">Cabecera Cantonal Girón
</t>
  </si>
  <si>
    <t xml:space="preserve">Improvement of water irrigation, agroforestry and forest pasture systems in communities with high vulnerability to drought from Girón parish, in order to generate conditions for adaptation to climate change </t>
  </si>
  <si>
    <t xml:space="preserve">In progress: supplies have been provided in order to improve water irrigation of four systems, pending the installation of gutters and iron structures. Supplies have been provided for the improvement of family gardens and the implementation of the 10 forest pastures systems. This will be implemented directly by MAE. No indicators have been reported, the final report was delivered on 15 July by the CCRJ since it used to be the executor. On September 2016 surveys for data collections were used. Workshops on: food security, gender, community irrigation, forestry and agroforestry were given in order to strength the adaptation measures activities. </t>
  </si>
  <si>
    <t>San Gerardo</t>
  </si>
  <si>
    <t>Improvement of soil water retention capacity and management of ecosystems in communities with high vulnerability to drought in the parish of San Gerardo</t>
  </si>
  <si>
    <t xml:space="preserve">The measure has been culminated with proposed actions. On 2017, a participatory incentive strategies will be implemented together with GADs authorities and the local families.
As a result of measure implementation it was possible to improve 105 family chakras through the use of organic manure and the implementation of good practices for soil cover improvement. This contributed to increase of soil moisture in 5.4% and improvements in the fertility of the soil. Thus the production of maize increase by 30% and potato by 20%. Community training processes benefited 418 people (260 men and 158 women).
</t>
  </si>
  <si>
    <t xml:space="preserve">La Asunción </t>
  </si>
  <si>
    <t>Implementation and management of family gardens in high vulnerability communities to intense rains in the parish of La Asunción, to generate conditions to adapt to climate change</t>
  </si>
  <si>
    <t>In execution: 450 beneficiary families. Design of land maps are in progress; in addition trained on topics related to the measure related to Agroforestry and soil conservation were made. Demonstrative workshops have been made in the fields of vegetables and fruit orchards. Supplies purchases for 200 families were done and delivered. On August 2016 the local trainer was trained to fill baselines, monitor and follow-up measures.</t>
  </si>
  <si>
    <t>Chumblin</t>
  </si>
  <si>
    <t>Seeds and ecosystems management in communities with highly vulnerable to drought</t>
  </si>
  <si>
    <t xml:space="preserve">The measure has been culminated with proposed actions. On 2017, a participatory incentive strategies will be implemented together with GADs authorities and the local families.
As a result of this measure implementation it was possible to improve 140 family chakras through introducing varieties of seeds of maize, bean and peas resistant to drought. These varieties showed a productive yield increase of Haba in 20% and Arveja in 15%. The adaptation measure was able to protect six sources of water for human consumption and irrigation. Community training processes benefited 620 people (185 men and 435 women).
</t>
  </si>
  <si>
    <t>San Fernando Cabecera Cantonal</t>
  </si>
  <si>
    <t xml:space="preserve">Wastewater systems implementation and drinking water supply improvement in order to contribute to food security in areas vulnerable to drought in San Fernando canton </t>
  </si>
  <si>
    <t xml:space="preserve">In execution: the measure has been approved by the DNACC. A number of 100 beneficiary families and more than 900 people count a cleaner drinking water for human consumption. The GAD is conducting informative meetings within 8 local communities. The distribution of agriculture supplies to families (fertilizers and grass seeds) has been done. The water system for human consumption is being built, consisting in the construction of 20m3 tank and a chlorination house.
Additional workshops were made by petition of the GAD in subjects such as: bovine health, handling and guinea pig breeding. On August 2016, forest pastures system and training in data collection for baseline data have been done. 
</t>
  </si>
  <si>
    <t>Cabecera Cantonal Oña</t>
  </si>
  <si>
    <t>Improvement of the soil moisture retention capacity through the management and incorporation of solid and liquid bio supplies in agricultural zones of communities with high vulnerability to frost in the cantonal headland of the Canton of San Felipe de Oña</t>
  </si>
  <si>
    <t>In execution: 212 beneficiary families participated in 6 informative meeting of the adaptation measure. The purchase of pumps, tanks, plastic and fruit plants has been made. Delivery of supplies to the municipality was made (armed tank, fumigation pumps and plastic). Agroforestry orchards were implemented. Training workshop on management and production of bio supplies for the preparation of bocashi fertilizer. Several workshops were offered on development of organic fertilizers, rain harvesting, monitoring and implementation of orchards.</t>
  </si>
  <si>
    <t>Susudel</t>
  </si>
  <si>
    <t xml:space="preserve">Water sources protection and home gardens implementation in communities with high vulnerability to generate conditions to adapt to climate change in order to combat drought in the Susudel parish </t>
  </si>
  <si>
    <t xml:space="preserve">In execution: 100 families are working in agroforestry orchards. Terms of references in order to buy the supplies have been submitted to WFP. Supplies have been delivered to participating communities. Installation of the land irrigation system, physical and biological protection of three sources of water for human consumption were done. Training process in fruit growing, integrated pest management and plant diseases were given. Tailor-made monitoring to the families have been done. </t>
  </si>
  <si>
    <t>San Rafael de Zharug</t>
  </si>
  <si>
    <t xml:space="preserve">Family agroforestry orchards implementation and management of minor animals as a strategy to diversify family nutrition as a mechanism for adapting to change Climate of the most vulnerable communities to the drought in San Rafael de Sharug parish </t>
  </si>
  <si>
    <t>In execution: 230 families participate in the adaptation measure implementation. At the moment the local trainer is realizing the orchards design in the 11 communities that participate in the project, as well as the training on agroforestry and smaller animals. Guinea pigs, chickens, feed and medication for animals have been purchased and delivered. On August 2016, the local promoter was trained data collection and the follow-up and monitoring to the adaptation measure.</t>
  </si>
  <si>
    <t>Cabecera Cantonal Pucará</t>
  </si>
  <si>
    <t>Improvement and construction of water management systems for irrigation in communities with high vulnerability to drought in Pucará in order to generate conditions for adaptation to climate change with emphasis on food security</t>
  </si>
  <si>
    <t xml:space="preserve">So far, water harvesting system as an adaptation measure has been prioritized. The improvement of irrigation channel for San Miguel de las Palmeras community was made prior a field trip to identify the magnitude of the work. </t>
  </si>
  <si>
    <t>EL ORO</t>
  </si>
  <si>
    <t>Abañin</t>
  </si>
  <si>
    <t>Improvement of water management for consumption and implementation of family agroforestry gardens in order to reduce the impacts of climate change on food security in the vulnerable communities of the Abañín parish</t>
  </si>
  <si>
    <t>The measure is being implemented, supplies have been acquired for 162 beneficiaries of the agroforestry measure and water harvesting kits. Eight training workshops were held about the measure. Ongoing process of acquisition the materials for the improvement of the lines of conduction for the system of drinking water for the communities. Delivery of supplies for the improvement of the community water supply line.</t>
  </si>
  <si>
    <t>Guanazán</t>
  </si>
  <si>
    <t>Irrigation systems improvement to face impacts of drought on the availability of water resources and food security as a strategy for climate change adaptation in Guanazan Parish</t>
  </si>
  <si>
    <t xml:space="preserve">The measure has been culminated with proposed actions. On 2017, a participatory incentive strategies will be implemented together with GADs authorities and the local families.
Through adaptation implementation the communities were able to physically protect 3 water sources irrigation. 4.33 km of water pipeline were installed with six irrigation channels, thus reducing water losses in critical sections. Community training processes benefited 66 people (51 men and 15 women).
</t>
  </si>
  <si>
    <t>Cabecera Cantonal Zaruma</t>
  </si>
  <si>
    <t xml:space="preserve">In progress: the measure is being designed and it will be ready for the first quarter of 2017. </t>
  </si>
  <si>
    <t>Sinsao</t>
  </si>
  <si>
    <t>Cabecera Cantonal Chilla</t>
  </si>
  <si>
    <t>Water sources protection in Chillayacu and Casacay basins and implementation of agroforestry orchards in communities with high vulnerability drought in order to generate conditions to climate change adaptation</t>
  </si>
  <si>
    <t>In execution: agreements with land owners of the water sources were done in order to implement the adaptation measure. Training workshops on climate change, food security, gender and agroecology have been held. A design for irrigated land was done with the beneficiaries that includes a baseline surveys in terms of irrigation and agroforestry orchards. Fertilizers, minerals, fruit plants have been purchased. Implementation of protection of sources, livestock trough and parcel irrigation have been carried out. Monthly baseline data collection and reporting have been performed. Follow-up and control of the measure implementation of parcel irrigation was carried out.</t>
  </si>
  <si>
    <t>Cabecera Cantonal Pasaje</t>
  </si>
  <si>
    <t>Expansion of the drinking water system in the urban area of Pasaje in order to generate conditions for climate change adaptation with an emphasis on food security</t>
  </si>
  <si>
    <t xml:space="preserve">In execution: currently working with the mayor of the GAD and the local drinking water supply Company “AGUAPAS” in order to implement the adaptation measure. </t>
  </si>
  <si>
    <t xml:space="preserve">Casacay </t>
  </si>
  <si>
    <t>Water management improvement (irrigation and consumption) in high vulnerability communities to the drought of the Casacay parish in order to generate conditions climate change adaptation with emphasis on food security</t>
  </si>
  <si>
    <t xml:space="preserve">The process of informative meetings of the measure was carried out with the GAD of Casacay. The measure is under review and monitoring with the local trainers, workshops and acquisition process of supplies are being process in order to implement the measure. </t>
  </si>
  <si>
    <t>Caña Quemada</t>
  </si>
  <si>
    <t>Improving healthy eating habits, as a strategy to diversify family food production as a mechanism for climate change adaptation in communities with high vulnerability to frost in the parish Caña Quemada</t>
  </si>
  <si>
    <t xml:space="preserve">This measures is been implemented with 150 beneficiaries. The families are being trained in orchards, food security and irrigation. The process of acquiring supplies and materials are being done. A survey of eating habits have been done, focus in the protein that the local families can access. The supplies for the adaptation measure have been delivered. </t>
  </si>
  <si>
    <t>Uzhcurrumi</t>
  </si>
  <si>
    <t>Water pipes improvement (irrigation and drinking water consumption) and protection of Chillayacu River. Implementation of irrigation systems in high vulnerability communities to drought in order to generate conditions for climate change adaptation in Uzhcurrumi parish</t>
  </si>
  <si>
    <t xml:space="preserve">Informative meetings between all the local actors have taking place. In addition, procurement process has been started with WFP for the acquisition of materials and supplies for the measure implementation. Irrigation supplies for canals and lines of conduction of launched water have been purchased and delivered to the communities. </t>
  </si>
  <si>
    <t>El Progreso (Pasaje)</t>
  </si>
  <si>
    <t>As explained in 2015 report, this parish does not meet criteria for adaptation based on ecosystems and communities.</t>
  </si>
  <si>
    <t>La Peaña</t>
  </si>
  <si>
    <t>LOJA</t>
  </si>
  <si>
    <t>San Pablo de Tenta</t>
  </si>
  <si>
    <t>Irrigation water optimization through improvement of conditions supply as an indispensable measure to guarantee food security against the effects of drought in the communities of Membrillo and Cochapamba</t>
  </si>
  <si>
    <t>The measure has been culminated with proposed actions. On 2017, a participatory incentive strategies will be implemented together with GADs authorities and the local families. Thanks to this measure implementation it was possible to rehabilitate 4 water reservoirs with a total of 5.700 m3 of water storage. In addition it was possible to construct a small water reservoir with capacity of 600 m3 and the installation of 2.55 km of pipe in primary conduction roads and 4.9 km of pipe in secondary roads. These actions allows 204 families to have accessto irrigation water. Approximately 80 hectares of land have access to water irrigation. Community training processes in topics related to the process has benefited 82 people (46 men and 36 women).</t>
  </si>
  <si>
    <t>Lluzhapa</t>
  </si>
  <si>
    <t>Irrigation system improvement and family agroforestry orchards implementation in communities with high vulnerability to drought in Lluzhapa parish</t>
  </si>
  <si>
    <t xml:space="preserve">In execution: development of informative meetings with participation of 173 people: 96 women and 77 men. 198 families are participating in the implementation of adaptation measure. Climate change and food security topics have been included in the parish PDyOT. Acquisition and delivery of supplies and materials for 50 orchards have been purchased. Climate Change, Food Security, Gender and Organic Agriculture workshops have offered to 43 people. Fruit plants have been planted and agroforestry orchards have installed. Culmination of the irrigation canal and water reservoir. Protection of watersheds for drinking water has been done. </t>
  </si>
  <si>
    <t>Urdaneta</t>
  </si>
  <si>
    <t>Irrigation improvement of water retention capacity in soil in communities with high vulnerability to drought</t>
  </si>
  <si>
    <t>The measure has been culminated with proposed actions. On 2017, a participatory incentive strategies will be implemented together with GADs authorities and the local families. Thanks to this measure implementation 202 families are able to access to irrigation systems. For this purpose, 2 reservoirs were rehabilitated and a new one was built. The total storage capacity is 1.368 m3. In addition an improvement of 3.01 kilometers of driving lines were done. As a result of these improvements 64 hectares of land can be irrigated. Community training processes benefited 409 people (128 men and 281 women).</t>
  </si>
  <si>
    <t xml:space="preserve">Cumbe </t>
  </si>
  <si>
    <t xml:space="preserve">Implementation of organic family gardens and irrigation land improvement to face climate change in San Antonio de Cumbre parish </t>
  </si>
  <si>
    <t xml:space="preserve">In progress: Development of the start-up meeting, preparation and approval of the work plan was carried out. Informative meeting with the participation of 106 people: 77 women and 29 men. 190 families are participating in the adaptation measure. Acquisition and delivery of 190 kits of inputs to install orchards and irrigation parcel was done. Climate change and food security topics have been included in the parish PDyOT. Community training for 139 people in climate change, food security and gender was done. Fruit plants have been planted, parcel irrigation kits have been installed and the process of implementation of the home gardens (vegetables) has begun. 
</t>
  </si>
  <si>
    <t>El Tablón</t>
  </si>
  <si>
    <t>Use and management of solid and liquid bio-fertilizers that retain soil moisture in order to reduce climate change impacts that affect food security in the communities of El Tablón parish</t>
  </si>
  <si>
    <t>In progress: Development of the start-up meeting, preparation and approval of the work plan was carried out. Informative meeting with the participation of 102 people: 63 women and 39 men. 221 families are participating in the adaptation measure. Acquisition and delivery of 225 kits of supplies for the production of organic fertilizers. Workshops on climate change, food security, gender, organic agriculture and organic fertilizers with the participation of 190 people were given. Nowadays, 215 families are producing organic fertilizers. Climate change and food security topics have been included in the parish PDyOT.</t>
  </si>
  <si>
    <t>Sumaypamba</t>
  </si>
  <si>
    <t>Irrigation systems improvement in communities of high vulnerability to drought of the parish of Sumaypamba, in order to generate conditions Climate Change adaptation</t>
  </si>
  <si>
    <t xml:space="preserve">
In progress: Development of the start-up meeting, preparation and approval of the work plan was carried out. Informative meeting with the participation of 102 people: 34 women and 68 men. 300 families are participating in the adaptation measure. Climate change and food security topics have been included in the parish PDyOT. The process of acquiring irrigation works has been carried out in order to achieve the goal of the adaptation measure.</t>
  </si>
  <si>
    <t>Selva Alegre</t>
  </si>
  <si>
    <t xml:space="preserve">Implementation of forest pastures systems that promote sustainable production of older and younger animals that contribute to family food security </t>
  </si>
  <si>
    <t>In progress: Development of the start-up meeting, preparation and approval of the work plan was carried out. Informative meeting with the participation of 206 people of which 124 participants are women (60%) and 82 men. 175 families are participating in the adaptation measure. Generation of requirements, acquisition and delivery of 175 kits of inputs were carried out. Climate change and food security topics have been included in the parish PDyOT. Training to 155 people in climate change, food security and gender were given. Fruit and forest plants have been planted for the implementation of forest pastures systems plots has been started.</t>
  </si>
  <si>
    <t>San Sebastián de Yuluc</t>
  </si>
  <si>
    <t>Irrigation systems improvement in communities with high vulnerability to drought in the parish of San Sebastián de Yuluc, in order to generate conditions for Climate Change</t>
  </si>
  <si>
    <t xml:space="preserve">In progress: Development of the start-up meeting, preparation and approval of the work plan was carried out. Informative meeting with the participation of 56 people of which 11 women and 45 men. 175 families are participating in the adaptation measure. Climate change and food security topics have been included in the parish PDyOT. The process of awarding irrigation works has been carried out. </t>
  </si>
  <si>
    <t>Cabecera Cantonal Saraguro</t>
  </si>
  <si>
    <t>Optimization and capture of the water resource to face drought in order to guarantee the availability of food and the food security of vulnerable families and communities of Saraguro</t>
  </si>
  <si>
    <t xml:space="preserve">In progress: Development of the start-up meeting, preparation and approval of the work plan was carried out. Informative meeting with the participation of 50 people. 200 families are participating in the adaptation measure. Acquisitions of supplies of kits for agroforestry orchards. Acquisition and delivery supplies for installation of 50 agroforestry orchards. Training to 50 people in Climate Change, Food security and gender. Fruit plants have been planted and the implementation of agroforestry orchards has begun. Monitoring of the measure. </t>
  </si>
  <si>
    <t>Manu</t>
  </si>
  <si>
    <t>Land irrigation improvement and implementation of agroforestry orchards to address climate change in communities with high vulnerability to drought in the parish of San Antonio de Manú</t>
  </si>
  <si>
    <t xml:space="preserve">
Preparation, socialization and validation of adaptation measure by the community. Identification of families that will participate in the adaptation measure. Data collection for information baselines has been carried out also the acquisition process has been done. </t>
  </si>
  <si>
    <t>Paraíso de Celén</t>
  </si>
  <si>
    <t xml:space="preserve">Irrigation system improvement and implementation of agroforestry orchards in communities with high vulnerability to drought in El Paraíso de Celén parish </t>
  </si>
  <si>
    <t>Preparation, socialization and validation of adaptation measure by the community. Signed the Agreement of inter-institutional cooperation for adaptation measures implementation. Data collection for information baselines has been carried out also the acquisition process has been done.</t>
  </si>
  <si>
    <t xml:space="preserve">TOTAL JUBONES </t>
  </si>
  <si>
    <t>PICHINCHA</t>
  </si>
  <si>
    <t>Cangahua</t>
  </si>
  <si>
    <t xml:space="preserve">Ensuring provision of water irrigation to reduce the impact of current and future variations of the climate system on food sovereignty by improving and expanding the irrigation system for Pitana Bajo community </t>
  </si>
  <si>
    <t xml:space="preserve">In progress: 5.36 Km of hoses installation and are in operation. The internal regulations of the irrigation board and the design of irrigation water distribution was carried out.  Capacity-building workshops on climate change, gender and food sovereignty were given. </t>
  </si>
  <si>
    <t>GADPP</t>
  </si>
  <si>
    <t>Olmedo</t>
  </si>
  <si>
    <t>Ensuring permanent endowment of water irrigation in order to reduce the risk of provision permanent irrigation water to reduce the impact of current and future variations of the climate system on food sovereignty, La Chimba Community - Parish of Olmedo</t>
  </si>
  <si>
    <t>In progress: 19,000m3 of water irrigation for 127ha are in operation. The internal regulations of the irrigation board and the design of irrigation water distribution was carried out. Capacity-building workshops on climate change, gender and food sovereignty were given.</t>
  </si>
  <si>
    <t>Cusubamba</t>
  </si>
  <si>
    <t>Ensuring permanent endowment of water irrigation in order to reduce impact of current and future variations of the climate system on food sovereignty, Cangahuapungo Commune</t>
  </si>
  <si>
    <t>In progress: 10,000m³ reservoir were delivered. The Cangahuapungo community did community work (mingas) during a month. The start-up workshop was carried out with the participation of the beneficiaries of the Cangahuapungo Community. Capacity-building workshops on climate change, gender and food sovereignty were given.</t>
  </si>
  <si>
    <t>Otón</t>
  </si>
  <si>
    <t>Ensuring permanent endowment of water irrigation in order to reduce the impact of current and future variations of the climate system on food sovereignty, Otoncito Commune.</t>
  </si>
  <si>
    <t>In progress: two reservoirs with a capacity of 4,000 and 5,000 m³ were waterproofed and irrigation areas were increased in order to strengthen food security. The internal regulation of the irrigation board is designed and the water irrigation distribution shifts. Capacity-building workshops on climate change, gender and food sovereignty were given.</t>
  </si>
  <si>
    <t xml:space="preserve">Ayora </t>
  </si>
  <si>
    <t>Impact reduction of current and future variations of the Climatic system on the food sovereignty of the sectors of Guanto-San Carlos, Curiloma, Cariacu, San José de Ayora Parish, through the permanent provision of water irrigation.</t>
  </si>
  <si>
    <t>In progress: two reservoirs in Curiloman of 2,316 m³ and Guanto San Carlos of 3,348m³ were delivered and waterproofed. The irrigation areas were increased to strengthen food security. The community performed community work (mingas) in order to finish the work. Capacity-building workshops on climate change, gender and food sovereignty were given.</t>
  </si>
  <si>
    <t>Ascázubi</t>
  </si>
  <si>
    <t>Ensuring provision of water irrigation to reduce the impact on food sovereignty of current and future variations of the climate system, water losses during distribution and water pollution, to the neighborhoods Pro Mejoras Las Flores and El Carmen.</t>
  </si>
  <si>
    <t>In progress: 2Km piped distribution networks of the channel of Irrigation were installed in Pisque, Pro Mejoras, Las Flores and El Carmen was finalized. Capacity-building workshops on climate change, gender and food sovereignty are underway.</t>
  </si>
  <si>
    <t>Cayambe</t>
  </si>
  <si>
    <t>In progress: the measures is being designed. There was an informative meeting with Ancholag  community.</t>
  </si>
  <si>
    <t>Juan Montalvo</t>
  </si>
  <si>
    <t>Ensuring permanent endowment of water irrigation in order to reduce the impact of current and future variations of the climate system on the food security of the Community Larcapamba</t>
  </si>
  <si>
    <t>In progress: The materials for the implementation of adaptation measure were delivered. A 4200m³ reservoir was waterproofed to increase irrigation areas and strengthen food security. Capacity-building workshops on climate change, gender and food sovereignty were given.</t>
  </si>
  <si>
    <t>Tabacundo</t>
  </si>
  <si>
    <t>Impact reduction of current and future variations of the climate system on the food sovereignty of San Luis de Ichisi, Tabacundo Parish, through the permanent provision of water for irrigation</t>
  </si>
  <si>
    <t>In progress: waterproofing for a reservoir with a capacity of 20,000m³ that can irrigate 120ha was built. The internal regulation of the irrigators' board and the design of the irrigation water distribution shifts are under constructions. Capacity-building workshops on climate change, gender and food sovereignty were given.</t>
  </si>
  <si>
    <t>La Esperanza</t>
  </si>
  <si>
    <t>Ensuring permanent endowment of water irrigation to reduce the impact of current and future variations of the climate system on the food sovereignty of Barrio El Rosario and La Esperanza Parish</t>
  </si>
  <si>
    <t>In progress: waterproofing for water reservoir with storage with capacity of 35,000m3 of irrigation water and is in operation for irrigation of 142.44ha. The internal regulation of the irrigators' board and the design of the irrigation water distribution shifts were designed. Capacity-building workshops on climate change, gender and food sovereignty were given.</t>
  </si>
  <si>
    <t>Malchingui</t>
  </si>
  <si>
    <t>Impact reduction of current and future variations of the climate system on the food sovereignty of the San Juan de Malchinguí Association, Malchinguí Parish, through the permanent provision of water irrigation.</t>
  </si>
  <si>
    <t>In progress: waterproofing of two reservoirs with storage capacity of 1200 m3 of irrigation water is in operation and it provides irrigation for 30ha. The internal regulation of the irrigators' board and the design of the irrigation water distribution shifts were designed. Capacity-building workshops on climate change, gender and food sovereignty were given.</t>
  </si>
  <si>
    <t>Tocachi</t>
  </si>
  <si>
    <t>In progress:  The measure desing  is at the stage of culmination with the GADPP.</t>
  </si>
  <si>
    <t>Tupigachi</t>
  </si>
  <si>
    <t xml:space="preserve">TOTAL PICHINCHA </t>
  </si>
  <si>
    <t xml:space="preserve">TOTAL GENERAL </t>
  </si>
  <si>
    <t>* Valores marcados en azul fueron ajustados con Oficio del MAE No. 2015-0461 del 27-agosto-205</t>
  </si>
  <si>
    <t>MEASURES</t>
  </si>
  <si>
    <t>JUBONES</t>
  </si>
  <si>
    <t xml:space="preserve">PICHINCHA </t>
  </si>
  <si>
    <t xml:space="preserve">Project Press Releases - FORECCSA 2016
</t>
  </si>
  <si>
    <t xml:space="preserve">No. </t>
  </si>
  <si>
    <t xml:space="preserve">DATE </t>
  </si>
  <si>
    <t>TYPE</t>
  </si>
  <si>
    <t xml:space="preserve">CATEGORY </t>
  </si>
  <si>
    <t xml:space="preserve">MEDIA </t>
  </si>
  <si>
    <t xml:space="preserve">SECTION </t>
  </si>
  <si>
    <t>KIND</t>
  </si>
  <si>
    <t xml:space="preserve">NEWS HOLDER </t>
  </si>
  <si>
    <t>SUMMARY</t>
  </si>
  <si>
    <t>LINK</t>
  </si>
  <si>
    <t>1</t>
  </si>
  <si>
    <t>06-may-2016</t>
  </si>
  <si>
    <t>Diario El Mercurio</t>
  </si>
  <si>
    <t>11-OCT-2016</t>
  </si>
  <si>
    <t>Radio</t>
  </si>
  <si>
    <t>Radio el Buen Pastor</t>
  </si>
  <si>
    <t>11-Oct-2016</t>
  </si>
  <si>
    <t>Radio Frontera Sur</t>
  </si>
  <si>
    <t>09-Nov-2016</t>
  </si>
  <si>
    <t>Regional</t>
  </si>
  <si>
    <t>Radio Planeta</t>
  </si>
  <si>
    <t>11-nov-2016</t>
  </si>
  <si>
    <t>https://www.elmercurio.com.ec/568919-taller-sobre-sobre-cambio-climatico/</t>
  </si>
  <si>
    <t>Diario Crónica</t>
  </si>
  <si>
    <t>http://www.cronica.com.ec/informacion/item/16332-3-000-familias-de-saraguro-beneficiadas-con-proyecto-foreccsa</t>
  </si>
  <si>
    <t>14-nov-2016</t>
  </si>
  <si>
    <t>El Comercio</t>
  </si>
  <si>
    <t>http://www.elcomercio.com/tendencias/experiencia-ecuador-cambioclimatico-agricultura-cop22.html</t>
  </si>
  <si>
    <t>El Norte</t>
  </si>
  <si>
    <t>http://www.elnorte.ec/actualidad/66025-medidas-de-adaptaci%C3%B3n-al-cambio-clim%C3%A1tico-en-comunidades-ecuatorianas-se-exponen-en-el-extranjero.html</t>
  </si>
  <si>
    <t xml:space="preserve">Opinión </t>
  </si>
  <si>
    <t>http://www.diariopinion.com/ultimahora/verArticulo.php?id=948226</t>
  </si>
  <si>
    <t>El Ciudadano</t>
  </si>
  <si>
    <t>http://www.elciudadano.gob.ec/riego-y-mejoramiento-de-las-practicas-agricolas-se-expondran-en-la-conferencia-cop22/</t>
  </si>
  <si>
    <t>Ecuador tv</t>
  </si>
  <si>
    <t>http://monitoreomedios.diuniversalcheck.net/Noticias/ConsultaNoticia?Id=1042817&amp;Usuario=1751&amp;Key=goqGk3/zH+dci0KMVBUlfdN+mC/5CgFLR2pDLTGxa9U=</t>
  </si>
  <si>
    <t xml:space="preserve">Andes </t>
  </si>
  <si>
    <t>http://www.andes.info.ec/es/noticias/ecuador-presenta-marruecos-proyectos-adaptacion-cambio-climatico.html</t>
  </si>
  <si>
    <t>14-nov-2017</t>
  </si>
  <si>
    <t xml:space="preserve">Corresponsables </t>
  </si>
  <si>
    <t>http://ecuador.corresponsables.com/actualidad/riego-y-mejoramiento-de-practicas-agricolas-cop22</t>
  </si>
  <si>
    <t>15-nov-2016</t>
  </si>
  <si>
    <t>El Telégrafo</t>
  </si>
  <si>
    <t>nota corta</t>
  </si>
  <si>
    <t>http://monitoreomedios.diuniversalcheck.net/Noticias/ConsultaNoticia?Id=1043868&amp;Usuario=1769&amp;Key=Eh9bU5GLLmia4vsCNRu1cik1gx3mg4SAhXekLHUrkcQ=</t>
  </si>
  <si>
    <t>Pichincha universal</t>
  </si>
  <si>
    <t>no disponible</t>
  </si>
  <si>
    <t>Radio Sucumbíos</t>
  </si>
  <si>
    <t>http://www.radiosucumbios.org.ec/index.php/component/content/article/13-noticias/noticias-ecuador/1205-proyectos-de-adaptacion-al-cambio-climatico-seran-expuestos-en-la-cop22</t>
  </si>
  <si>
    <t>Diario Regional Independiente Los Andes</t>
  </si>
  <si>
    <t>Radio Vigía</t>
  </si>
  <si>
    <t>http://monitoreomedios.diuniversalcheck.net/Noticias/ConsultaNoticia?Id=1044359&amp;Usuario=1769&amp;Key=JcQVQwhXIm8B5O8Ten2NlbomcuPNwIT4GFxyBmeAW1I=</t>
  </si>
  <si>
    <t>Los 40 principañes</t>
  </si>
  <si>
    <t>http://monitoreomedios.diuniversalcheck.net/Noticias/ConsultaNoticia?Id=1043572&amp;Usuario=1769&amp;Key=SHLn7dSVfxJ5++VdSiSP6ILJhq9POOxddwnsXw/nXkA=</t>
  </si>
  <si>
    <t>http://www.eltelegrafo.com.ec/noticias/sociedad/4/medidas-que-ecuador-implementa-para-enfrentar-el-cambio-climatico-son-expuestas-durante-el-cop22</t>
  </si>
  <si>
    <t>Ecoticias</t>
  </si>
  <si>
    <t>http://www.ecoticias.com/eco-america/129218/Se-presentaran-proyectos-adaptacion-calentamiento-global-COP22</t>
  </si>
  <si>
    <t>http://www.elcomercio.com/tendencias/ecuador-compromisos-cambioclimatico-calentamientoglobal-cop22.html</t>
  </si>
  <si>
    <t>http://www.elnorte.ec/actualidad/66078-walter-garc%C3%ADa-hace-un-llamado-a-cumplir-con-los-compromisos-asumidos-en-la-convenci%C3%B3n-de-cambio-clim%C3%A1tico.html</t>
  </si>
  <si>
    <t>Encantada</t>
  </si>
  <si>
    <t>https://drive.google.com/drive/folders/0B3q1SyA9-r6hN2ZPa3BsaWtkVVE</t>
  </si>
  <si>
    <t>El Tiempo</t>
  </si>
  <si>
    <t>http://www.eltiempo.com.ec/noticias/ecuador/4/402656/ecuador-participa-en-cumbre-climatica</t>
  </si>
  <si>
    <t>El Mercurio</t>
  </si>
  <si>
    <t>https://drive.google.com/drive/folders/0B3q1SyA9-r6hODdQZGJQZXVBX1U</t>
  </si>
  <si>
    <t xml:space="preserve">El Telégrafo </t>
  </si>
  <si>
    <t>http://www.eltelegrafo.com.ec/noticias/sociedad/4/las-comunas-campesinas-se-blindan-ante-el-cambio-climatico</t>
  </si>
  <si>
    <t>Ecuador Inmediato</t>
  </si>
  <si>
    <t>http://www.ecuadorinmediato.com/index.php?module=Noticias&amp;func=news_user_view&amp;id=2818811483</t>
  </si>
  <si>
    <t>Al Día</t>
  </si>
  <si>
    <t>http://aldiaonline.com/?p=66911</t>
  </si>
  <si>
    <t>http://www.eltiempo.com.ec/noticias/ecuador/4/402683/el-92-de-la-generacion-electrica-del-pais-proviene-de-fuentes-renovables</t>
  </si>
  <si>
    <t>Unimax TV</t>
  </si>
  <si>
    <t>https://drive.google.com/drive/u/1/folders/0B3q1SyA9-r6hNmdvTGhDVmJLUzg</t>
  </si>
  <si>
    <t>http://ecuador.corresponsables.com/actualidad/ecuador-en-la-cop-22</t>
  </si>
  <si>
    <t>http://www.elciudadano.gob.ec/el-92-de-la-generacion-electrica-del-pais-proviene-de-fuentes-renovables/</t>
  </si>
  <si>
    <t>Radio Macas</t>
  </si>
  <si>
    <t>http://www.radiomacas.com/2016/11/18/walter-garcia-hace-un-llamado-a-cumplir-con-los-compromisos-asumidos-en-la-convencion-de-cambio-climatico/</t>
  </si>
  <si>
    <t xml:space="preserve">Radio Centro </t>
  </si>
  <si>
    <t>https://drive.google.com/drive/u/1/folders/0B3q1SyA9-r6hRDA4MHZKNFNMeWc</t>
  </si>
  <si>
    <t>TV Legislativa</t>
  </si>
  <si>
    <t>https://drive.google.com/drive/u/1/folders/0B3q1SyA9-r6hZlloVTNLZnNOVzA</t>
  </si>
  <si>
    <t>Radio Líder</t>
  </si>
  <si>
    <t>https://drive.google.com/drive/u/1/folders/0B3q1SyA9-r6haEFULXIzZTJoclk</t>
  </si>
  <si>
    <t>Radio Mera</t>
  </si>
  <si>
    <t>https://drive.google.com/drive/u/1/folders/0B3q1SyA9-r6hT05PeFlPRlZnTWc</t>
  </si>
  <si>
    <t>El Ambateño</t>
  </si>
  <si>
    <t>WALTER GARCÍA, MINISTRO DEL AMBIENTE PRESENTE EN LA CONVENCIÓN DE CAMBIO CLIMÁTICO</t>
  </si>
  <si>
    <t>https://drive.google.com/drive/u/1/folders/0B3q1SyA9-r6hekFVTUVKdW81Wlk</t>
  </si>
  <si>
    <t>El Heraldo</t>
  </si>
  <si>
    <t>https://drive.google.com/drive/u/1/folders/0B3q1SyA9-r6hR1lGelpOajJMQUU</t>
  </si>
  <si>
    <t>https://www.youtube.com/watch?v=1i0A2cawefY&amp;feature=youtu.be</t>
  </si>
  <si>
    <t>Walter García pide cumplir compromisos asumidos en la Convención de Cambio Climático</t>
  </si>
  <si>
    <t>TVS</t>
  </si>
  <si>
    <t>https://drive.google.com/drive/u/1/folders/0B3q1SyA9-r6hYU9JR0ptcVZNREU</t>
  </si>
  <si>
    <t>Electrónico</t>
  </si>
  <si>
    <t>Ecuadorinmediato</t>
  </si>
  <si>
    <t>http://www.ecuadorinmediato.com/index.php?module=Noticias&amp;func=news_user_view&amp;id=2818791958</t>
  </si>
  <si>
    <t xml:space="preserve">La Nación </t>
  </si>
  <si>
    <t>https://drive.google.com/drive/u/1/folders/0B3q1SyA9-r6hUzVzc3c4U3dXMkE</t>
  </si>
  <si>
    <t>30-dic-2016</t>
  </si>
  <si>
    <t xml:space="preserve">http://www.eltelegrafo.com.ec/noticias/economia/8/los-campesinos-actuan-frente-al-cambio-climatico </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</si>
  <si>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</si>
  <si>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</si>
  <si>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</si>
  <si>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</si>
  <si>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</si>
  <si>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 The SAC (sistema de alerta cliamtica - system of climate alert ) has been generated for the Jubones basin as a whole, this global vulnerability study complement the vulnerability studies that were generated at the parish level as part of the design of measures. This gives greater confidence for the implementation of activities of the rest of the components of the project.
• Involve since the beginning and motivate GADs and families so that they are empowered from the inproposals of adaptation to climate change, food security and gender. 
• As participants in the adaptation measures and in concordance with the entire process of change in the local territory, the GADs are committed to the Project. This explains why they are now referred to as “implementers” as opposed to “beneficiaries.”
• Evidenced by the assistance and knowledge evaluation applied in a final survey to the trainee, the training process also includes a reception of the coexecutors. This reflects that knowledge of the subject matter has increased.
• There are positive changes in the lifestyle of people who implement adaptation measures, one example being the increased diversity of their diet when implementing farms.
• All the actions of the project components have been empowered with gender guidelines, by the accompaniment of 2 consultants who researched the theme throughout 2016 and part of 2015.
• The development of local capacities will also promote integration and sustainability. In the face of climate change, communities must have the capacity and willingness to adapt their daily activities and ancestral knowledge.
• Sustainable solutions to climate change emerge from the community itself, it is they who create and innovate practices, technologies, improvise or adapt existing ones to fit their own situations and strengthen their resilience to changing climate circumstances.
• The articulation with local actors (MAGAP and GADPP) are foundational for the effectiveness of the processes.
• A project such as FORECCSA project should be regarded as a means to contribute to direct and indirect changes.
• In the midterm evaluation it was stated "the FORECCSA project is a pilot, knowing that a pilot gives the opportunity to correct but also to make mistakes and as such the greatest wealth is in the learning and knowledge process."
Delays: 
• Some delay in the processes of purchases and adjustment were due to new regulations in Procurement Requirement by WFP Rome headquarters in order to ensure better quality control.
• The Lack of a project communication strategy has reduced the effectiveness of the dissemination of project results. We have planned to strengthen this axis of the project in 2017.
• Although in the evaluation of workshops we see an increase in knowledge, it is important from time to time to reteach the themes taught as communities oftentimes do forget the lessons.
• Effective adaptation projects require incresed inter-institutional and community-based coordination and collaboration. This is so they gather the complementary skills and capacities necessary to achieve the established objectives. In the case of this project, communication problems between local and national government institutions are identified.
• Processes and procedures in the different phases of the project are long and complex. There are no automated tools to optimize times and reduce errors.
• There are no clear guidelines on the Project procedure due to project partners having different modes of governance.
</t>
  </si>
  <si>
    <t>Were there any delays in implementation?  If so, include any causes of delays. What measures have been taken to reduce delays?</t>
  </si>
  <si>
    <t xml:space="preserve">• Lack of experience in procurement processes for civil works. In order to reduce this delay, the acquisition periods have been agreed with the GADs. This situation was implemented for the adaptation measures of the Jubones river basin in the parishes where the MAE implements the Measures directly. As for the measures of the Province of Pichincha executed by the GADPP, there were delays due to public procurement processes. However, in order not to delay the implementation, community work “mingas” were increased so that the planning were not altered. Another problem was the reform of the National Water Law and the formation of watering-down boards. In order to reduce the impact, preliminary guidelines documents to conform the water boards have been prepared in which adjustments can be made for the new law. </t>
  </si>
  <si>
    <t>Describe any changes undertaken to improve results on the ground or any changes made to project outputs (i.e. changes to project design)</t>
  </si>
  <si>
    <t xml:space="preserve">• For some parishes in the Jubones basin river an increase of the investment amounts was generated per family from USD $ 200 to USD $ 250.
• Gender indicators has been introduced and modified in some cases. This with the purpose to have a report aligned with the logical framework. In addition to the adaptation measures, gender criteria have been incorporated, thanks to the advice of a consultant in the visits and meetings with the community.
• Beneficiaries of the adaptation measures become into co-executors by their commitment, proactivity and empowerment to each one of the project activities.
• In Pichincha an increased investment amounts to adaptation measures was done. Thanks to the contribution of the implementing partner GADPP and community efforts that are achieving greater results.
</t>
  </si>
  <si>
    <t>How have gender considerations been taken into consideration during the reporting period? What have been the lessons learned as a consequence of inclusion of such considerations on project performance or impacts?</t>
  </si>
  <si>
    <t xml:space="preserve">• In previous reports has been showed gender considerations, however in 2016, the contribution by UN Women consultants was an important contribution in order to do capacity building for project staff. The most important actions are:
• Active participation of women in the decision-making process, women´s opinions are taking into account in project implementation.
• Women take on new responsibilities in the communities, such as the Canal Balcones irrigation system of the Yuluc Parish, created since 1973, for the first time in 2016, a woman integrates the directive as a secretary. In the indigenous community of Saraguro for the channel Chico Bridge, a woman is the president.
• Men and women understand that they have to share workload (both home and from the plot) in order to ensure food security for their family.
• Women’s community work has been made visible through social networks. In addition, in communicational materials of the Project has been considered a priority the figure of women.
• Adaptation measures improved women's community entrepreneurship, mainly in the participation organic products fairs. 
• All project staff has carried out gender courses and has benefited from advice on the issue of UN Women missions.
</t>
  </si>
  <si>
    <r>
      <t xml:space="preserve">Please complete the following section at </t>
    </r>
    <r>
      <rPr>
        <b/>
        <i/>
        <sz val="11"/>
        <color theme="1"/>
        <rFont val="Times New Roman"/>
        <family val="1"/>
      </rPr>
      <t xml:space="preserve">mid-term </t>
    </r>
    <r>
      <rPr>
        <i/>
        <sz val="11"/>
        <color theme="1"/>
        <rFont val="Times New Roman"/>
        <family val="1"/>
      </rPr>
      <t>and</t>
    </r>
    <r>
      <rPr>
        <b/>
        <i/>
        <sz val="11"/>
        <color theme="1"/>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</si>
  <si>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</si>
  <si>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</si>
  <si>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</si>
  <si>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 xml:space="preserve">The design of adaptation measures should favor a participatory, short, and convincing study that drives practical solutions. Therefore, emphasis on the development of consultancies should be reduced. For this it is important to rely on an analysis and macro resources that serve as inputs for decision making. 
In order to tackle climate change communities maintain their production and adapt it to climatic threats. Thus communities have identified are adapting their crops, generating employment through agro ecological practices and technology transfer has been provided by Project in order to contribute to this efforts.
• The reduction in the availability of water irrigation obliges to establish different and friendly system that allows the efficiency in the production of the resource.
• In order to generate resilience to climate change is important to count with the participation of the members of the community, so the field actions must be adapted and coordinated with the availability of time of local communities.
</t>
  </si>
  <si>
    <t>What is the potential for the climate resilience measures undertaken by the project/programme to be replicated and scaled up both within and outside the project area?</t>
  </si>
  <si>
    <t xml:space="preserve">There is high potential to the expand irrigation measures. They can be integrated into the work of the Provincial governments which have the ability and resources to work in this area. The organic material measures have a high potential to the extent that the farmers can perceive improvements in moisture (raw material that is available on their farms). The garden measures link the families´ interest to improving their diets, especially of women, and the GADs and Parishes´ interest in drinking water in order to improve family’s health. 
There are 9 adaptation measures led by the MAE that have completed the implementation phase. These measures counts with fully support from the presidents of GADs, since there is an interest in linking these actions into future projects to help more vulnerable families. There is great likelihood of continuing adaptation actions due to the existence of the parish adaptation plan, which identified other priority adaptation measures that need to be implement. This instrument is useful in order to obtain resources from both national and international entities.
These measures have high potential to be replicated and expanded because their productive and participatory approach that empowers community members.
</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</si>
  <si>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</si>
  <si>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</si>
  <si>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 xml:space="preserve">As a pilot project, FORECCSA presents an opportunity for success but also runs the risk for mistakes. However, these circumstances generate a variety of lessons that can be used to our benefit. The following are things we have observed from the project:
Positive:
There are 9 adaptation measures of the FORECCSA Project. Planned to be completed in the second quarter of 2017, we are expecting to perform an analysis of results by typology and by area so that we can detail all aspects of the project, both positive and negative. These are some of the results we have reported so far:
• For the design of adaptation measures to have a greater impact and sustainability, they should be inserted into rural livelihoods and the priorities of people. In this way, the value added is more tangible. 
• A large number of people are supportive with the approach of the project of the water conservation and ecosystem preservation. 
• Family gardens are valued for their production, which is why they are better cared for than trees graded by the forest pasture systems measure.
• The irrigation infrastructures are expected to benefit many families in the future. Therefore, in order to ensure their sustainability, the water board is being trained in the maintenance of such infrastructure.
• Collaborating with local actors: MAGAP and GADPP are foundational for the effectiveness of the project. 
Negative:
• The recovery measures and promotion of drought-resistant seeds require a long process in the identification of local varieties. Therefore it is not recommended that they be promoted in projects that have little time for the intervention.
• In the case of Pichincha province, the partner did not involve the municipal government, therefore forcing us to limit the adaption measure to grading irrigation only.
• We are not to work with crops in areas where there is no irrigation. This is due to the high investment necessary for such production and is totally dependent on the seasons.
</t>
  </si>
  <si>
    <t>What is the potential for the concrete adaptation interventions undertaken by the project/programme to be replicated and scaled up both within and outside the project area?</t>
  </si>
  <si>
    <t xml:space="preserve">All adaptation measures implemented by FORECCSA can be replicated. Especially those that optimize the inputs that rural families have on their farms or orchards to produce organic matter as a means to enhance soil fertility and moisture retention, as well as techniques of orchard improvement and incorporation of various practice of agroforestry as it contributes to improved food production and connects with the interest of families. In the case of irrigation, the project is replicable to the extent that there is participation of an actor that can leverage financing for the works. There is less potential for the seed issue, however, because it requires a long-term process that involves genetics and scientific research.
As the measures will be recorded during different stages of implementation, the entire process will generate insights that will overall strengthen the experience in various aspects including replicability both within and outside the project. At the moment, however, we must emphasize that the potential to replicate the implementation is contingent on the principle of dialogue of knowledge. This will allow the unity of knowledge from both farmers and technicians in generating solutions to practical demands. These visible results may therefore generate interest in others whom might otherwise be considering requesting technical assistance or replicating the results through their own practices. For each measure that has completed its phase of implementation, it is expected to that an exchange of local experiences will lead to a desire to replicate the same results in zones of similar intervention.
</t>
  </si>
  <si>
    <t>Community/National Impact</t>
  </si>
  <si>
    <t>What would you consider to be the most successful aspects for the target communities?</t>
  </si>
  <si>
    <t xml:space="preserve">• Bringing awareness of the project´s themes in the communities are very important and provide an important introduction to the training of the main themes of the project.
• Trainings headed by local facilitators and designed with materials from the area are better received.
• In spite of delays, the activities will be completed within the GADs in the frameworks agreed to when they were signed with the MAE.
• Constant and focused monitoring of co-executors by project technicians.
• Capacity building for both GAD authorities, promoters (GADs technical team), and local authorities.
• Adaptive measure with roadmap that complies with both the financial parameters and the execution time.
</t>
  </si>
  <si>
    <t>What measures are/have been put in place to ensure sustainability of the project/program results?</t>
  </si>
  <si>
    <t xml:space="preserve">Local promoters have worked in multidisciplinary teams with the purpose of creating tools that can be useful to give sustainability to the adaptation measure:
• Strengthening, Sustainability and Closure Plan
• Review of the adaptation plan in order to relate to new projects that strengthen the measure implemented.
• The percentage of food consumption survey was applied in order to delineate the incentive strategy based on territorial reality.
• Generation of the Incentives strategy
• Generation of monitoring tools in order to determine critical points of measures, strengths and weaknesses in order to ensure sustainability.
• In some parish of Jubones, they have prioritized adaptation measures within the local planning that extends until 2019.
In the case of Pichincha measures being all of the same typology, the following aspects have been considered:
• In the design, materials for the implementation of infrastructure works comply with technical characteristics that allow the durability of it for more than 7 years. 
• Each community will have a regulation for their Water Boards, covering responsibilities of the representativeness and users. They include maintenance schedules and obligations for the sustainability of the infrastructure.
</t>
  </si>
  <si>
    <t>What measures are being/could have been put in place to improve project/program results?</t>
  </si>
  <si>
    <t xml:space="preserve">• Encourage parties involved in order to mitigate inter-institutional tensions, defining clear roles and goals to be met within a period of time.
• Clarify, focus, prioritize, coordinate and sequence the program theory project to simplify the monitoring and evaluation procedures at all levels.
• Define at the beginning of the project a consistent methodology to determine the vulnerability related to livelihoods, prioritizing indicators of sensitivity and adaptive capacity.
• Flexibility to adjust the framework, clarify and prioritize actions for the project lifetime.
• Restructure monitoring and evaluation system focus on adaptation measures and processes of change for adaptation rather than on decentralized management indicators.
• Define a strategy for knowledge management, operative tools and responsibility before conducting trainings in the implementation of measures and the guidance process.
• Operationalize in a simple way the relationship between food security, climate change and gender.
• Permanent presence for guidance, tracking and monitoring of implementing partners and the implementing national institution in the territory to encourage local participation and increase the credibility of the project.
• Link academia and other stakeholders in order to generate knowledge from technical, scientific and community connections.
• Create opportunities for the exchange of experiences with other regional projects and parishes that have participated in adaptation projects implemented by the MAE or by other public or private institutions.
• Socialize the content of the vulnerability studies and adaptation plans to disseminate information of the effects of climate change on local livelihoods so that populations of vulnerable areas became empowered with local knowledge and develop responses in their area. Timely training in adaptation experiences at international and national level for project technicians in order to provide tools to differentiate the different types of adaptation and results.
• Plan and designate a person that is responsible for the systematization of the lessons learned during the implementation process of the project in order to avoid the loss of historical memory.
</t>
  </si>
  <si>
    <t xml:space="preserve">Knowledge Management </t>
  </si>
  <si>
    <t>How has existing information/data/knowledge been used to inform project development and implementation? What kinds of information/data/knowledge were used?</t>
  </si>
  <si>
    <t xml:space="preserve">•At a high priority event called the "Seventh Innovation Forum" in the COP 22 in Marrakech, the Minister of the Environment presented the successful experience of the FORECCSA Project to support vulnerable communities in tackling climate change. The event attracted an audience of 250 people.
• On the World Day of Food Sovereignty, the Ministry of Agriculture, Livestock, Aquaculture and Fisheries of Ecuador held a fair to promote food sovereignty. Presenting its results of the projects in Pichincha province and the Jubones River Basin, the FORECCSA Project also participated in the Games of Climate Change, Food Security and Gender.
• 38 national media reports have been generated highlighting the results of the FORECCSA Project in Pichincha province, one of which (7 days, 7 minutes) having recognized the initiative as being the greatest achievement in terms of audience size and its effective communication of results.
• Executive summaries of the Project denominated 2 pager and 4 pager have been generated and have been distributed both in national events and in international workshops such as Colombia´s "Regional Workshop on Exchange of Experiences and Capacity Building for the Elaboration of National Adaptation Plans”(PNACC ) and in Guatemala´s "Regional Workshop of Euroclima: Agrobiodiversity and Gender: Factors"
• A video with the results of the FORECCSA initiative was presented at HABITAT III, highlighting the importance of the participation of women in the face of climate change. The Minister of Environment later on made a speech in HABITAT III (called Resilient Cities), where he spoke in large part of his FORECCSA experience, attracting more than 300 people.
• Informative pamphlets have been disseminated in fairs and network events
• Reports have been submitted to the Ministry of Environment on the state of implementation of the FORECCSA project, in which the physical and financial progress of its goals has been analyzed.
• Exhibits have been presented in Educational Units, as well as in Universities, with data on how the FORECCSA project generates resilience against the adverse effects of climate change in vulnerable communities. A compendium of the activities of the two components has been made.
• Field visits have been made to the parishes where adaptation measures have been implemented. These visits have been carried out with the authorities of the MAE, PMA and MAGAP, local authorities and technical staff of the FORECCSA Project. Through these visits we sought to understand the state of execution in the properties of the beneficiary families.
• In order to present the degree of development achieved by the Project, progress has been quantified in relation to the goals prior stated.
• For the adaptation measures, hard data (percentage of water storage for improvement and construction of reservoirs, improved kilometers of critical sections of irrigation channels, number of farms implementing agroforestry practices, etc.) has been counted and projected, therefore reflecting the achievements of the measures. In the last quarter, these indicators were supplemented by data reflecting improvements in climate change, food security and gender.
• Due to the climatic problems that have been evident in the last months of the year, the visits to the adaptation measures in their final phases, especially the measures of Pichincha province, have generated increased interest in the media.
</t>
  </si>
  <si>
    <t>If learning objectives have been established, have they been met? Please describe.</t>
  </si>
  <si>
    <t xml:space="preserve">Regarding to the component to increase knowledge on climate change, food security and gender, a methodology has been designed to measure initial knowledge before a training and compare it at the end of the lessons.  For the development of this activity, a survey has been designed to obtain quantitative values that are processed by parish. 
On 2016, a methodology has been applied in the capacity building workshops designed for the parishes of Pichincha. These Training Plan for the cantons of Pichincha was developed considering their cultural and ethnic context. In addition, local facilitators were hired.
For Jubones, CAMAREN consultancy firm was hired to design a training plan for adaptation measures based on the macro typologies and themes of the project. The products are being review by project staff and WFP members. Final products will be ready in the first quarter of 2017.
Below a summary of the objectives that have been fulfilled in 2016:
a. Generation of local information and proposals for climate change adaptation with emphasis on food security and gender considerations.
b. Implementation of priority adaptation measures in vulnerable communities.
c. Capacity building and knowledge management.
d. Implementation of climate warning systems.
e. Incorporation of the variables of climate change, food security and gender into local planning and policies.
F. Gender approach is applied in all project actions and strategies.
</t>
  </si>
  <si>
    <t>Describe any difficulties there have been in  accessing or retrieving existing information (data or knowledge) that is relevant to the project. Please provide suggestions for improving access to the relevant data.</t>
  </si>
  <si>
    <t xml:space="preserve">The difficulties mentioned were developed on 2015, however on 2016, they persist due to the complex design of the project:
• The program theory has not been considered in its entirety for the development of a monitoring system, which makes it difficult data collection. The project indicators have been become goals, thus taking away from flexibility in the planning and implementation of actions. 
• During vulnerability and design studies of the adaptation plans, the determination of indicators was not easy because not all data were available at the parish level. The parish PDOTS were important sources of local information. 
• With regards to climate data, although the government has made many efforts to update its models and pick up information at the territorial level, the weather stations are not sufficient to determine data in small spaces such as parishes which was why mega data should have to be used and compared with community perceptions. 
The mid-term evaluation cited some of the difficulties evaluated, including:
• The project had a challenge of operating the conceptual framework in an emerging way in a multi-stakeholder scenario for decision-making.
• Political, technical and financial management involved different models that have discontinued and contributed to the delay.
• Discontinuity of project management and teams at all levels contributed to historical memory loss.
• The decisions to homogenize contributions at the family level -200 USD / family- imply that the amount of investment is very small and can only be considered as seed capital in the framework of the FORECCSA project.
</t>
  </si>
  <si>
    <t>Has the identification of learning objectives contributed to the outcomes of the project? In what ways have they contributed?</t>
  </si>
  <si>
    <t xml:space="preserve">The general objective of the FORECCSA Project seeks to "increase knowledge to manage the risks of climate change that affect food security." In order to reach this objective, the project has developed tools to comply with all established activities such as: "awareness training on climate change and food security" and the "establishment of food safety information and warning systems." The agreements developed to implement the parish adaptation plans all lead to results such as those mentioned previously. For more clarification on these results, see the attached Annex 4, which is a brief summary of the current results of the project.
As part of the second objective in "strengthening the adaptive capacity of food-insecure communities," tools have been developed to meet all the established activities, such as: "concrete adaptation measures," "incentive strategy," and experiences." To better illustrate the current results of the project´s activities, see the brief summary attached in Annex 2.
</t>
  </si>
  <si>
    <t xml:space="preserve">ANNEX 5 - Explanatory notes on variances between planned and actual expenditures of outputs during the reporting period </t>
  </si>
  <si>
    <t>PROJECTED COST FOR 2015 IN PREVIOUS PPR</t>
  </si>
  <si>
    <t>ACTUAL EXPENSE</t>
  </si>
  <si>
    <t>Difference (negative figure indicates amount overspent)</t>
  </si>
  <si>
    <t>Reason for over or underspending</t>
  </si>
  <si>
    <t>Technical assistance for this activity was mean to be hired at the beginning of this year. However, because state restriction this process only could be done in September.</t>
  </si>
  <si>
    <t>The incorporation of the consultant that will work with gender approach, only took place in the month of November after the third selection round.</t>
  </si>
  <si>
    <t>This section it corresponds to the budget allocated for the installation of meteorological stations. This work is coordinated with the National Meteorological Service and it will implemented by January of 2017.</t>
  </si>
  <si>
    <t xml:space="preserve">The processes of contracting goods and services in the state were subject to restrictions and took more time than expected. The contracting of works by WFP required the endorsement of the Technical Department of Rome, thus it took more time than it was expected. </t>
  </si>
  <si>
    <t>A call for applications was launched in order to hire a consultant, however, the proposals received did not qualify. Thus, project staff assumed the design of the incentives strategy and will be implemented next January 2017.</t>
  </si>
  <si>
    <t>There was a delay in the acquisition of goods and services that affected the planning for budget execution, as a result of this all activities have been reprogrammed.</t>
  </si>
  <si>
    <t>The main reasons for the gap between planned and actual amounts were: a) the set up of the new mechanism for execution of adaptation measures in Jubones; b) Changes in authorities at national level; c) new mechanism for procurement of engineering services at WFP; and d) achievement of cash co-financing from MAE.</t>
  </si>
  <si>
    <t xml:space="preserve">The overall rating for the Project is Satisfactory. The project has made significant improvements on implementation during the last year. It has managed to consolidate a management solid structure with improved communication between the actors involved from the National Steering Committee, Technical Committee and Project Management. There is a solid technical team in the field that are able to reach the milestones established in the planning.
The support and commitment of the Ministry of Environment (MAE) through the undersecretary for climate change, was crucial to coordinate activities at local level and improve execution of the Project in Jubones watershed. Despite the change in the authorities (Minister and Undersecretary) did not affect the normal course of the project, mainly because the Adaptation Director has been maintained during the year. In addition, it should be mentioned that the inclusion of the project as a key element for public policy implementation. FORECCSA has become one of the projects prioritized by the MAE and with great visibility for its achievements in the media. The current Minister has given full support to the project, and the results of the project are being use in several climate changes events including high visibility in COP 22 in Marrakech and international Habitat III in Quito. 
Currently the CCRJ has finalized the planned measures and the financial closure is being carried out. With the actions taken by the CDN, a good financial control has been achieved for an adequate use of the resources and accountability, as well as to reach the established outcomes in the project. For the first quarter of next year, the respective financial audit will be carried out by an external consultant.
In addition, it is important to highlight that 2016 has been by far the largest implementation of project measures and activities. A total of 66% of the total resources allocated for the implementation of measures have been achieved. It is important to emphasize that the support given to the technicians by the gender expert has also a significant impact in order to achieve greater community participation of the women, as well as an appropriation of the project as a whole. 
As a result of these tremendous efforts, adaptation to climate change measures are being implemented in 44 parishes with 15.000 participating families. Concrete achievements of these interventions are:
• Vulnerability analysis and local proposals for climate change adaptation with an emphasis on food security and gender considerations were designed in 44 parishes, through participatory processes.
• The information generated by project activities contributes to improve knowledge about climate risks and inputs for the decision making of Local Governments and vulnerable communities.
• The studies were designed with an innovative methodology developed by WFP and MAE that incorporates gender, social development, food security and climate change indicators.
• Nine typologies of adaptation measures have been defined, in order to generate resilience at the household level production and according to the results of the participatory studies.
</t>
  </si>
  <si>
    <t xml:space="preserve">
1,251 people participated in 7 local fairs; 36 students and teachers of the Educational Unit El Progreso were trained in order to increase their knowledge on the effects of climate change on livelihoods and their relationship with food insecurity.
On 2016, 12 adaptation measures were approved in Azuay, Loja, El Oro and Pichincha, in which 61 workshops were carried out to sensitize the authorities of the GADs. Community leaders and project partners are implementing adaptation actions to strengthen their livelihoods in the face of climate threats. These workshops were carried out in 60 communities.
One large awareness campaign was implemented in the Jubones Watershed. According with reports it has reached 19.319 people in 39 parishes. This campaign included radial messages and workshops within parishes.
</t>
  </si>
  <si>
    <t>The climate information system is under development for the Jubones Watershed. This will be an important instrument in order to assess the level of local preparedness to tackle climate change issues. Even though this methodology is used for this indicator, it is not directly related to project activities. Thus the indicator will be adjusted in terms of information availability and project scope.</t>
  </si>
  <si>
    <t xml:space="preserve">Climate change information systems that monitor climate events has been designed in accordance with local contexts and they are being implemented in each targeted area. Two systems will cover the 50 targeted parishes.
In the case of the Jubones Watershed, the design considers the availability of meteorological data and the response capacity of local governments to manage climatic information system for food security. Other products generated by the SAT in Jubones are: diagnostic, management model, vulnerability analysis for the whole basin, capacity building strengthening. The plan and forecasting module are approved. 
In addition, final version of the web viewer in in the final phase, the communication and response module are in process of institutional approval to ensure sustainability and implementation of the system. The network of stations were acquired and are in the process of being installed in coordination with INAMHI.
For Pichincha Province a seasonal meteorological system was designed. The equipment is under procurement. These systems are complemented by a capacity strengthening activities that contributes to communities´ enhanced comprehension of climatic risks and prepares them to deal with variability and climate change.
</t>
  </si>
  <si>
    <t xml:space="preserve">
In Jubones there have been 55 start-up workshops that took place in 11 parishes that have been approved on 2016. In the 34 measures that are under implementation, a total of 139 capacity building workshops on climate change issues, Food security and gender were given. The training was focus on the typology of the adaptation measure implemented. In total, 4.414 people have been trained in this process. The Jubones Watershed Consortium partner ended in July 2016, training 210 people in 7 parishes.
Six start-up workshops were held in Pichincha. In the 10 measures under implementation, 36 local capacity building workshops have been held on climate change, food security and gender issues. In total, 4.236 people have been trained in this process. All these workshops have been systematized. FORECCSA Project and its achievements has been socialized in local, national, and international events, attracting the interest of participants.
</t>
  </si>
  <si>
    <t xml:space="preserve">The MAE and INAMHI among other institutions have generated climate change scenarios for Ecuador with a projection from 2031-2071 and 2100. These scenarios includes a selection of the best models and advanced techniques for managing uncertainty. This work was developed as part of the Third National Communication and has provided detailed information for the policymaker and decision making in order to improve mitigation and adaptation actions. The MAE has organized a series of events of socialization and delivery of results. The project is using this information to complete vulnerability analyzes that were done in previous years focusing in scenarios for the local level. This information is being share with Local Governments in order to motivate their interest and define actions for the mitigation of the possible scenarios.
In previous years the Project took other measures to mitigate this risk, since on 2014, it developed its methodology to assess vulnerability by integrating adaptation to climate change and food security into territorial planning. This methodology was approved by the MAE and validated by the partners, including the WFP and was used to carry out rapid assessments in 45 parishes. During 2015 a global analysis of the Watershed was carried out, based on the rapid assessments made by the parish that incorporates the Climate Information System developed by CIIFEN for the Jubones Watershed. On 2016 a vulnerability analysis was carried out with emphasis on food security in the Jubones Watershed.
The GADPP generated an assessment of microclimates in the target area through a correlation analysis carried out in the study entitled "Climatic Impacts of El Niño and La Niña Events in the Territory of the Province of Pichincha". The results of this study confirms that the amount and the temporal distribution of temperature and precipitation vary over short distances.
In addition, the Project, in coordination with INAMHI, will install equipment to strengthen the national network of meteorological stations in the selected areas to improve the generation of official data.
</t>
  </si>
  <si>
    <t>UN Women. María Falconi Abad. "Technical assistance for the mainstreaming of the gender approach in climate change adaptation measures for parishes participating in the FORECCSA project in the Jubones Watershed.</t>
  </si>
  <si>
    <t>Enhancing resilience of communities to the adverse effects of climate change on food security, in Pichincha Province and the Jubones Watershed - FORECCSA  by its Spanish acronym</t>
  </si>
  <si>
    <t xml:space="preserve">In response to Ecuador’s national needs and priorities, WFP developed FORECCSA project upon the request of the Ministry of Environment of Ecuador (MAE) in coordination with the Ministry of Agriculture (MAGAP), the Jubones Watershed Public Consortium (CCRJ) and the Provincial Government of Pichincha (GADPP) in 2011. The project seeks to address priorities established by national and local governments and targets 150 communities within 50 parishes. A total of 15,000 families vulnerable to the effects of climate change and food insecurity in the provinces of Azuay, Loja and El Oro located in the Jubones Watershed as well as the province of Pichincha. 
The overall goal of the project is to reduce the food insecurity and vulnerability of communities and ecosystems related to the adverse effects of climate change, in the most vulnerable cantons of Pichincha Province and the Jubones Watershed. The project includes two components: 
Component 1: Develop awareness and knowledge capacity at the community level on climate change and food insecurity related risks. Objective 1: Increase knowledge to manage climate change risks affecting food security in targeted cantons/parishes in Pichincha Province and in the Jubones Watershed. 
Component 2: Increase adaptive capacity and reduce recurrent risks of climate variability at the community level. Objective 2: Strengthen adaptive capacity of highly food insecure communities to respond to the impacts of climate change, including variability in targeted cantons/parishes in the Pichincha Province and the Jubones Watershed.
The project approach recognizes the importance of critical ecosystems and agricultural production systems in support to food security and the most vulnerable segments of the population. The project targets those cantons and parishes with high levels of chronic malnutrition, large precipitation fluctuations and water scarcity due to climate variability and change. It also targets communities that will be most severely affected by climate-related events and that are least able to cope with increased climate variability. Project activities aim to address the impact of reduced precipitation levels, increasingly frequent droughts and other climate-related phenomena that affects food security. As a result of these efforts, the project has developed several adaptation measures with a participatory approach. In order to provide a quick respond for adaptation needs the project has typify nine adaptation measures to climate change with emphasis on food security and gender issues. Thus, this measures has become in an important input for the decision making process for the development of public policy.    
Project components are being implemented under the leadership of Ministry of Environment of Ecuador (MAE), as the national executing partner in coordination with the Ministry of Agriculture (MAGAP) and the United Nations World Food Programme (WFP). In addition, two local executing partners are key actors for the development of the project: the Public Consortium of the Jubones Watershed (CCRJ by its Spanish acronym) and the Pichincha Provincial Government (GADPP by its Spanish acronym), are responsible for implementing project activities at local level.
</t>
  </si>
  <si>
    <t>Jubones Watershed (covering 3 Provinces, 12 Cantons and 39 Parishes)
Pichincha Province (covering 1 Province, 2 Cantons and 11 Parishes)
15,000 vulnerable families</t>
  </si>
  <si>
    <t>José Miguel Angel Uzhca, President of the Public Consortium of the Jubones Watershed</t>
  </si>
  <si>
    <r>
      <t xml:space="preserve">Between 2015 and 2016, 45 adaptation plans has been developed by the project which all of them are aligned with national, regional and local policies. These adaptation plans have served as an important source of information for the process of updating the PDOTs. An agreement was achieved in Pichincha so that the PDOTs of the Municipal Governments of Cayambe and Pedro Moncayo (covering the 10 targeted parishes of the project) incorporate climate change, food security, and gender variables. The Provincial Government of Pichincha has develop an Institutional Strategy for Climate Change to support all of its actions. 
In Jubones 11 pilot cases were chosen in which parishes’ PDOTs incorporates the variables mentioned above. This work was performed under the guidelines developed by MAE on the incorporation of climate change into local planning. Additionally, adaptation measures implemented by FORECCSA were considered as priority activities to be developed by the GADs.
</t>
    </r>
    <r>
      <rPr>
        <sz val="11"/>
        <color rgb="FFFF0000"/>
        <rFont val="Times New Roman"/>
        <family val="1"/>
      </rPr>
      <t xml:space="preserve">From the last quarter of </t>
    </r>
    <r>
      <rPr>
        <sz val="11"/>
        <color theme="1"/>
        <rFont val="Times New Roman"/>
        <family val="1"/>
      </rPr>
      <t xml:space="preserve">2016, a new informative meetings on vulnerability analysis and adaptation plans will be made to visualize the progress and challenges faced during the implementation especially to reinforce awareness and motivate additional actions such as: (I) issuing local resolutions on adaptation to climate change with emphasis on food security and gender considerations, (ii) submission of the Plan before the MAE to obtain its endorsement, (iii) prioritize a new measure for GAD implementation, (iv) generate an alliance with related stakeholders.
Five parishes are in a design phase of the adaptation measures.                                                                                                                                                                                                                                         
</t>
    </r>
  </si>
  <si>
    <t xml:space="preserve">As part of the implementation of adaptation measures several practical-theoretical workshops on climate change, food security, gender, as well as on the specific issues of the measures were offered to the different communities: 
Strengthening community irrigation in drought areas, provision of water irrigation, development of home gardens, management of organic fertilizers for soil moisture retention, promotion of forest pastures services in order to create microclimates, smaller animals breeding as a source of protein, drinking water supply improvement for human consumption, water sources protection and seeds with drought resistance attributes.
In order to accomplish these workshops with the communities a training plan was developed. This plan provide guides have a special emphasis in adult education techniques linking as well with the transversal axes of the project in topics such as: climate change, food security and gender. There is a training plan for Pichincha as well, where all the adaptation measures are focus on community water irrigation for their lands. During 2016, a total of 255 workshops were held as a result of it 9.069 people were trained, it is worth to mention that 56% were women. In Jubones another plan has been developed that addresses all the adaptation measures typologies previously mentioned. To date, 350 workshops have been held in Jubones watershed, involving 12.091 people. Besides de la large-scale awareness campaign with radio messages on climate change, food security and gender that was implemented in the Jubones watershed in 2014. It reached a total of 19.319 people.
Implementation of the activities was done with active participation of the families involved in the project either under the cooperative work modality "mingas" or through visits and technical assistance on the farm. All opportunities are used to highlight the purpose of the project and raise awareness about the risks of climate change on food security and rural livelihoods.
During 2016, a number of 209 people attended several events that were held on the early warning system and the conceptual basis of climate change and food security. For 2017 the project will continue with the execution of workshops foreseen in the capacity building plan.
</t>
  </si>
  <si>
    <t xml:space="preserve">The project's progress is satisfactory for being inclusive, innovative, and provide capacity building to the local stakeholders. This report shows the most significant achievements of the project and it demonstrates the conditions that have been created to continue to meet the objectives.
Year 2016 was characterized by some events: (i) consolidation of direct execution modality in Jubones agreed by all the actors of the project (ii) slight delays in the procurement process (carried out by WFP) for infrastructures works, this is due to new rules, as some processes now required endorsement from HQ in Rome; (iii) change of authorities in MAE since 2016 (both minister and the undersecretary), (iv) the earthquake that affected Ecuador on April made that WFP, MAE and other actores join forces in order to provide assistance for the catastrophic event. Because of this emergency some of the ongoing process got delayed.(v) economic and fiscal crisis that affected Government entities and GADs which impacted the fulfillment of commitments related to budget execution in order to hire staff and vehicles. This resulted in team reduction, however completed by the end of the third quarter of the year.
The Project welcomed the recommendation of the interim evaluation and obtained the extension of the period for project execution until May 2018. To date there are significant and interesting results summarized in:
• Construction/Improvement of 23 water reservoirs to increase water storage capacity up to 120.732 m³ in order to allow for food production in dry seasons.
• 34 Km from critical sections of community irrigation canals has been enhanced to provide water to rural smallholders. 
• Improvement on water supply for 3.023, 94 ha are being used for smallholder family farming.
• 1.310 families improve their quality of life by having permanent drinking water.
• 2.518 families have guaranteed hydrological services by protecting the main water sources.
• The practical incorporation of a gender perspective has started in the implementation of measures (with UN Women support). 
Finally, the project has created the conditions to meet the objectives and support the improvement of the quality of life of the peoples of the area of influence by strengthening its resilience.
• 1,850 families improve their life quality by having permanent drinking water.
• Incorporation / improvement of agricultural practices to retain soil moisture, create microclimates, attenuate water shortages and diversify diet into at least 4,000 rural family chakras (family garden).
</t>
  </si>
  <si>
    <t xml:space="preserve">A guide and strategy for capacity development have been developed (it´s includes training modules on climate change, food security and gender). Furthermore, specific workshops on these topics have been held within the communities, local authorities and project partners. A large-scale awareness campaign with radio messages on climate change, food security and gender was implemented in Jubones watershed.
As part of the adaptation measures execution, concrete actions are already under implementation. Training processes that adapt the "Field School (ECA)" modality have been developed to increase knowledge on the risks of climate change.
Raising awareness activities on the importance of climate change including local fairs for rural women were made. High schools talks and seed exchange fairs were held with the purpose to exchange experiences with the local population that did not participate in the adaptation measure. Thus, the fairs raised awareness among the majority of rural population on the importance of preserving seeds when faced drought. 
In Pichincha, 42 capacity-building workshops have been developed. The facilitators specialized in climate change, food security and gender under the form of climate forums with the participation of the community. In addition, 5 rural women fairs have been held. These fairs help local women to sell their products and to show the importance of food security and its linkage with climate change.
In Jubones, 238 start-up workshops were held, local capacity-building workshops and adaptation training workshops were developed as well. These workshops are developed with the parish authorities and replicated at the community level. Also 7 fairs with the purpose of exchanging experiences with the population that did not participate in the adaptation measure were done. 
As part of the raising awareness activities for risk reduction a recreational activity was developed and use it at the fairs for Jubones and Pichincha. A learning game for adults was developed with the aim to increase the knowledge of climate change, food security and gender. The issues addressed by the game are: impacts of climate change and climate change. Regarding gender equity, there is a question that says: What happens when gender equity is not applied?, What to do to strengthen gender equity? In terms of food security: what risks are the lack of food security?, What to do in the face of food insecurity.
</t>
  </si>
  <si>
    <t xml:space="preserve">Until now 23 agreements have been signed between MAE and the local governments in order to implement adaptation actions in Jubones watershed. This actions were possible due to the new mode of execution that was opened in 2015. WFP, according to the resolutions of the CRC, it has provided support for the procurement process of the supplies. In the case of Pichincha, there is an amendment with the executing partner to continue with the implementation of the adaptation measures and other components of the project to achieve the results.
Under the Weather alert system project action, it has been negotiated agreements with the National Weather Services and the national Secretariat of Risk Management. Given a time extension for execution. The project have been updated and institutional arrangements are needed for project implementation.
The National Steering Committee resolved to give a time extension to the project in order to achieve their objectives until March 2018. This action was ratified and approved by the donor.
</t>
  </si>
  <si>
    <t>Technical assistance for this activity was meant to be hired at the beginning of this year. However, due to state restrictions, this process only could be done in September.</t>
  </si>
  <si>
    <t>% spent</t>
  </si>
  <si>
    <t>Technical assistance for this activity was meant to be hired at the beginning of this year. However, because state restriction this process only could be done in September.</t>
  </si>
  <si>
    <t xml:space="preserve">44 parishes are implementing adaptation measures to increase their resilience and reduced their risk to climate change considering food security and gender empowerment. Each adaptation measure has its own baseline to determine the future impact of the intervention. </t>
  </si>
  <si>
    <t xml:space="preserve">44 parishes have designed adaptation measures which have been approved by the Steering Committee (34 in Jubones &amp; 10 in Pichincha). All these measures are under implementation. The approval process of the adaptation measures has the agreement from local to national level and involves technical review from CCRJ, MAE, MAGAP and WFP.
The adaptation measures are grouped into nine typologies: (i) Strengthening community irrigation in the drought areas, (ii) provisioning of land irrigation, (iii) development of family gardens, (iv) management of organic fertilizers for moisture soil retention (Vi) breeding of smaller animals as a source of protein, (vii) improvement of the provision of drinking water for human consumption, (viii) protection of water sources, and (ix) seed development with drought resistance attributes. For each typology a set of indicators has been established that will allow the project impact assessment of the project in contribution to the adaptation to climate change, food security and gender.
By first quarter 2017, 6 more adaptation measures will be implemented, 3 in Pichincha(Cayambe, Tocachi y Tupigachi) and 3 more in Jubones (Santa Isabel, Zaruma, Sinsao) will be implemented in the first quarter of next year. 
</t>
  </si>
  <si>
    <r>
      <t xml:space="preserve">It is an important to indicate that even though co-financing is not required by the Adaptation Fund, the Government of Ecuador is committed to collaborate with additional funds for the Project. Furthermore, this project has been able to add additional funds through formal commitments from local governments, MAE and UN Women.
Resources co-financing for project execution such as:
</t>
    </r>
    <r>
      <rPr>
        <b/>
        <u/>
        <sz val="11"/>
        <color indexed="8"/>
        <rFont val="Times New Roman"/>
        <family val="1"/>
      </rPr>
      <t xml:space="preserve">2013 </t>
    </r>
    <r>
      <rPr>
        <b/>
        <sz val="11"/>
        <color indexed="8"/>
        <rFont val="Times New Roman"/>
        <family val="1"/>
      </rPr>
      <t>US$ 112.985,00</t>
    </r>
    <r>
      <rPr>
        <sz val="11"/>
        <color indexed="8"/>
        <rFont val="Times New Roman"/>
        <family val="1"/>
      </rPr>
      <t xml:space="preserve"> (MAE US$ 35.720,00; UNWomen US$ 77.265,00)
</t>
    </r>
    <r>
      <rPr>
        <b/>
        <u/>
        <sz val="11"/>
        <color indexed="8"/>
        <rFont val="Times New Roman"/>
        <family val="1"/>
      </rPr>
      <t>2014</t>
    </r>
    <r>
      <rPr>
        <sz val="11"/>
        <color indexed="8"/>
        <rFont val="Times New Roman"/>
        <family val="1"/>
      </rPr>
      <t xml:space="preserve"> </t>
    </r>
    <r>
      <rPr>
        <b/>
        <sz val="11"/>
        <color indexed="8"/>
        <rFont val="Times New Roman"/>
        <family val="1"/>
      </rPr>
      <t>US$ 477.221,59 (</t>
    </r>
    <r>
      <rPr>
        <sz val="11"/>
        <color indexed="8"/>
        <rFont val="Times New Roman"/>
        <family val="1"/>
      </rPr>
      <t xml:space="preserve">MAE US$ 242.222,42; GADPP US$ 107.070,00; CCRJ US$ 114.509,33; WFP US$ 13.419,84)
</t>
    </r>
    <r>
      <rPr>
        <b/>
        <u/>
        <sz val="11"/>
        <color indexed="8"/>
        <rFont val="Times New Roman"/>
        <family val="1"/>
      </rPr>
      <t>2015</t>
    </r>
    <r>
      <rPr>
        <sz val="11"/>
        <color indexed="8"/>
        <rFont val="Times New Roman"/>
        <family val="1"/>
      </rPr>
      <t xml:space="preserve"> </t>
    </r>
    <r>
      <rPr>
        <b/>
        <sz val="11"/>
        <color indexed="8"/>
        <rFont val="Times New Roman"/>
        <family val="1"/>
      </rPr>
      <t>US$ 515.331,41</t>
    </r>
    <r>
      <rPr>
        <sz val="11"/>
        <color indexed="8"/>
        <rFont val="Times New Roman"/>
        <family val="1"/>
      </rPr>
      <t xml:space="preserve"> (MAE US$ 292.989,16; GADPP US$ 85.156,86; CCRJ US$ 64.385,39; UN Women US$ 15.000,00; Local Governments US$ 39.800,00)
</t>
    </r>
    <r>
      <rPr>
        <b/>
        <u/>
        <sz val="11"/>
        <rFont val="Times New Roman"/>
        <family val="1"/>
      </rPr>
      <t>2016</t>
    </r>
    <r>
      <rPr>
        <sz val="11"/>
        <rFont val="Times New Roman"/>
        <family val="1"/>
      </rPr>
      <t xml:space="preserve"> US$                                                                                             MAE US$ 247,577.27                                                                          
GADPP US$ 128,585.04 
CCRJ US$ 36,876.66                                                                                      MAGAP US$ 84,348.50
UN Women US$ 7,000.00
Jubones Local Governments US$ 245,002.35 
WFP US$ 34,475.79                                                                                       </t>
    </r>
  </si>
  <si>
    <t xml:space="preserve">Print </t>
  </si>
  <si>
    <t xml:space="preserve">Local </t>
  </si>
  <si>
    <t>News</t>
  </si>
  <si>
    <t>Delivery of supplies for agroforestry orchards.</t>
  </si>
  <si>
    <t xml:space="preserve">During the months of March and April, families living in 56 communities in Giron, Nabón, Oña and San Fernando, in the province of Azuay and Zaruma located in the province of El Oro have received inputs for the implementation of agroforestry orchards.
 </t>
  </si>
  <si>
    <t>Interview</t>
  </si>
  <si>
    <t>FORECCSA Project activities in Saraguro.</t>
  </si>
  <si>
    <t>Proposal, actions, actors and results achieved through FORECCSA Project in canton Saraguro and the Jubones watershed.</t>
  </si>
  <si>
    <t xml:space="preserve">FORECCSA Project activities for climate change adaptation.  </t>
  </si>
  <si>
    <t xml:space="preserve">Climate change workshops. </t>
  </si>
  <si>
    <t>3,000 FAMILIES OF SARAGURO BENEFITED WITH FORECCSA PROJECT</t>
  </si>
  <si>
    <t>About 3,000 families in Saraguro benefits from the Climate Change Adaptation plan with a focus on food sovereignty and community gender that was implemented in 2014 in Saraguro.</t>
  </si>
  <si>
    <t xml:space="preserve">Print  </t>
  </si>
  <si>
    <t xml:space="preserve">National </t>
  </si>
  <si>
    <t>AN ECUADORIAN EXPERIENCE FOR ADAPTATION TO CLIMATE CHANGE WILL BE PRESENTED AT COP22</t>
  </si>
  <si>
    <t>Salvadora Gualabisid quite her work in a flower industry. Now she decide to plant and harvesting organic products in her chakra. She decided to do it after experiencing problems in her health and after having water for permanent irrigation.</t>
  </si>
  <si>
    <t xml:space="preserve">Digital </t>
  </si>
  <si>
    <t xml:space="preserve">MEASURES FOR CLIMATE CHANGE ADAPTATION IN ECUADORIAN COMMUNITIES </t>
  </si>
  <si>
    <t>FORECCSA promotes a proposal for climate change adaptation with emphasis on food security and gender considerations, which has led to the construction / improvement of 19 water reservoirs that increase water storage capacity to 120,732 meters Cubic in order to produce food in dry season. It also works in the improvement of 24 kilometers of critical sections of community irrigation canals to provide small rural farmers with water.</t>
  </si>
  <si>
    <t>IRRIGATION AND IMPROVEMENT OF AGRICULTURAL PRACTICES WILL BE EXHIBITED AT THE COP22 CONFERENCE</t>
  </si>
  <si>
    <t>The Minister of the Environment, Walter García, will present the experiences of the country in the process of implementing measures for climate change adaptation. The aim of the project is to strengthen the Resilience of Communities to the Adverse Effects of Climate Change with an emphasis on Food Security and Gender Considerations (FORECCSA).</t>
  </si>
  <si>
    <t>IRRIGATION AND IMPROVEMENT OF AGRICULTURAL PRACTICES WILL BE EXHIBITED AT THE COP22</t>
  </si>
  <si>
    <t>Audiovisual</t>
  </si>
  <si>
    <t xml:space="preserve">Reportage </t>
  </si>
  <si>
    <t>FORECCSA PROJECT AT COP22</t>
  </si>
  <si>
    <t>FORECCSA project has consolidated the participation of communities with mingas in order to strengthen community irrigation in drought areas, as well as to provide irrigation water parcels for family gardens. The construction of water reservoirs allows communities access to water and to provide small farmers and their families with quality organic products.</t>
  </si>
  <si>
    <t>http://monitoreomedios.diuniversalcheck.net/Newss/ConsultaNews?Id=1042817&amp;Usuario=1751&amp;Key=goqGk3/zH+dci0KMVBUlfdN+mC/5CgFLR2pDLTGxa9U=</t>
  </si>
  <si>
    <t>ECUADOR PRESENTS PROJECTS FOR CLIMATE CHANGE ADAPTATION IN MOROCCO</t>
  </si>
  <si>
    <t>In the high-level event called 'Resilient Agriculture and Landscape', Minister García presented the project FORECCSA as well at the Side Event 'Sustainable Innovation Forum' (SIF2016).</t>
  </si>
  <si>
    <t>http://www.andes.info.ec/es/Newss/ecuador-presenta-marruecos-proyectos-adaptacion-cambio-climatico.html</t>
  </si>
  <si>
    <t>Irrigation and improvement of agricultural practices: COP22</t>
  </si>
  <si>
    <t xml:space="preserve">
The Minister of the Environment, Walter García, will present the experiences of the country in the process of implementing measures for climate change adaptation. The emblematic project promotes the construction and improvement of 19 potable water reservoirs, which will increase the storage capacity of the vital liquid to 120 thousand 732 cubic meters. This will ensure the production of food in the dry season.</t>
  </si>
  <si>
    <t>MINISTRY OF ENVIRONMENT AT COP 22</t>
  </si>
  <si>
    <t>The Minister of Environment, Walter García, chairs the Ecuadorian delegation at the 22nd Conference of the Parties (COP22) in Morocco. He exposed the country's experiences about the fight against climate change.</t>
  </si>
  <si>
    <t>http://monitoreomedios.diuniversalcheck.net/Newss/ConsultaNews?Id=1043868&amp;Usuario=1769&amp;Key=Eh9bU5GLLmia4vsCNRu1cik1gx3mg4SAhXekLHUrkcQ=</t>
  </si>
  <si>
    <t>ECUADORIAN DELEGATION WILL TRAVEL TO MOROCCO IN ORDER TO PARTICIPATE IN CONFERENCE ON CLIMATE CHANGE</t>
  </si>
  <si>
    <t>In the high-level event called Resilient Agriculture and Landscape of the sustainable innovation forum, Minister García presented the project to strengthen community resilience to the adverse effects of climate change with an emphasis on food security and gender considerations.</t>
  </si>
  <si>
    <t>CLIMATE CHANGE PROJECT ADAPTATION WILL BE EXPOSED AT COP22</t>
  </si>
  <si>
    <t xml:space="preserve">FORECCSA project achievements, as well as other measures of adaptation to Climate Change successfully implemented in the country will be presented by Minister Walter García on Monday, November 14 at the Twenty-second Climate Change Conference of the Parties (COP 22). </t>
  </si>
  <si>
    <t>http://www.radiosucumbios.org.ec/index.php/component/content/article/13-Newss/Newss-ecuador/1205-proyectos-de-adaptacion-al-cambio-climatico-seran-expuestos-en-la-cop22</t>
  </si>
  <si>
    <t>The Minister of Environment, Walter García, head of the delegation of Ecuador at the Twenty-second Conference of the Parties (COP22), will present on Monday, November 14, the experiences of the implementation process of climate change adaptation measures.</t>
  </si>
  <si>
    <t>MINISTER OF ENVIRONMENT WILL PRESENT COUNTRY'S EXPERIENCES IN THE PROCESS OF CLIMATE CHANGE ADAPTATION</t>
  </si>
  <si>
    <t>The Minister of the Environment, Walter García, will present the experiences of the country in the process of implementing measures for climate change adaptation. The presentation will be made today during the Twenty-second Conference of the Parties (COP22) held in Morocco. In his presentation the Project to Strengthen the Resilience of Communities to the Adverse Effects of Climate Change with an emphasis on Food Security and Gender Considerations (FORECCSA) will be highlighted.</t>
  </si>
  <si>
    <t>http://monitoreomedios.diuniversalcheck.net/Newss/ConsultaNews?Id=1044359&amp;Usuario=1769&amp;Key=JcQVQwhXIm8B5O8Ten2NlbomcuPNwIT4GFxyBmeAW1I=</t>
  </si>
  <si>
    <t>Ecuador will presents in Morocco experiences of project implementation for climate change adaptation in the event called Resilient Agriculture and Landscape of the sustainable innovation forum. In the forum, Minister García presented the project to strengthen communities' resilience to the adverse effects of climate change with an emphasis on food security and gender considerations.</t>
  </si>
  <si>
    <t>http://monitoreomedios.diuniversalcheck.net/Newss/ConsultaNews?Id=1043572&amp;Usuario=1769&amp;Key=SHLn7dSVfxJ5++VdSiSP6ILJhq9POOxddwnsXw/nXkA=</t>
  </si>
  <si>
    <t>Measures that Ecuador implements in order to address climate change will be presented in COP22</t>
  </si>
  <si>
    <t>Ecuador presented during the COP (Conference of Parties) the FORECCSA project, which promotes a proposal for climate change adaptation with emphasis on food security and gender considerations.</t>
  </si>
  <si>
    <t>http://www.eltelegrafo.com.ec/Newss/sociedad/4/medidas-que-ecuador-implementa-para-enfrentar-el-cambio-climatico-son-expuestas-durante-el-cop22</t>
  </si>
  <si>
    <t>FORECCSA promotes a proposal for climate change adaptation with emphasis on food security and gender considerations, which has led to the construction / improvement of 19 reservoirs that increase water storage capacity by 120,732 meters cubic to produce food in the dry season.</t>
  </si>
  <si>
    <t>Ecuador will present its commitments to address climate change at COP22</t>
  </si>
  <si>
    <t>The Minister of Environment of Ecuador, Walter García, as lead the Ecuadorian delegation during the United Nations Conference on Climate Change held in Marrakech (COP22). He presented the proposals of the country on how to deal with global warming.</t>
  </si>
  <si>
    <t>WALTER GARCÍA CALLS TO COMPLY WITH THE COMMITMENTS ASSUMED IN THE CLIMATE CHANGE CONVENTION</t>
  </si>
  <si>
    <t xml:space="preserve">During his speech in the High-Level Segment of the United Nations Framework Convention on Climate Change, COP22, Minister of the Environment Walter García, as the leader of the Ecuadorian delegation, presented the demands of developing countries in order to support the stop of accelerated increase of the temperature in the planet, which focus in three points: financing, transfer of technology and capacity building. </t>
  </si>
  <si>
    <t>The efforts carried out for adaptation measures by the country are also important, as they have been allocated about USD 24 million of national funds and cooperation in projects of food security, water and capacity building for the beneficiaries of more than one million people.</t>
  </si>
  <si>
    <t>ECUADOR PARTICIPATES IN CLIMATE SUMMIT</t>
  </si>
  <si>
    <t>The Minister presented the requirements of developing countries in order to support the fight against the accelerated increase of the temperature in the planet, which, he said, focus on three points: financing, technology transfer and capacity development.</t>
  </si>
  <si>
    <t>http://www.eltiempo.com.ec/Newss/ecuador/4/402656/ecuador-participa-en-cumbre-climatica</t>
  </si>
  <si>
    <t>WALTER GARCÍA SPEAKS AT CLIMATE CHANGE SUMMIT</t>
  </si>
  <si>
    <t>Ecuador is speaking at COP22 in order to promote the comply of Paris Agreement, under the principle of shared responsibilities.</t>
  </si>
  <si>
    <t>LOCAL COMMUNITIES SHIELD TO CLIMATE CHANGE</t>
  </si>
  <si>
    <t>For Laura Diaz, project beneficiary, it is contradictory that her town located near a large natural reserve of water (Cayambe) does not have enough water irrigation for her crops. To tackle this problem, the community built a reservoir of 4,200 cubic meters, which allows irrigation of 290 ha and benefits 102 families.</t>
  </si>
  <si>
    <t>http://www.eltelegrafo.com.ec/Newss/sociedad/4/las-comunas-campesinas-se-blindan-ante-el-cambio-climatico</t>
  </si>
  <si>
    <t>ECUADOR CALLS TO COMPLY WITH THE COMMITMENTS ASSUMED IN THE CLIMATE CHANGE CONVENTION</t>
  </si>
  <si>
    <t>Ecuador's position was clear in pointing out that "developed countries generate knowledge that is privatized".</t>
  </si>
  <si>
    <t>http://www.ecuadorinmediato.com/index.php?module=Newss&amp;func=news_user_view&amp;id=2818811483</t>
  </si>
  <si>
    <t>MINISTER OF ENVIRONMENT OF ECUADOR CALLS TO COMPLY WITH THE COMMITMENTS ASSUMED IN THE CLIMATE CHANGE CONVENTION</t>
  </si>
  <si>
    <t>Ecuador's position was clear in pointing out that "developed countries generate knowledge that is privatized, while developing countries generate freely available environmental goods. This is what Ecuador has called: the paradox of the open environment and closed knowledge. "</t>
  </si>
  <si>
    <t>92% of the country's electricity generation comes from renewable sources</t>
  </si>
  <si>
    <t>http://www.eltiempo.com.ec/Newss/ecuador/4/402683/el-92-de-la-generacion-electrica-del-pais-proviene-de-fuentes-renovables</t>
  </si>
  <si>
    <t>ECUADOR PARTICIPATED IN CLIMATE CHANGE CONVENTION</t>
  </si>
  <si>
    <t xml:space="preserve">Ecuador participated in the Convention on Climate Change, the Minister of Environment announced the country's position on the issue, and “the need to comply with the principle of common responsibilities was highlighted”. </t>
  </si>
  <si>
    <t>ECUADOR AT COP 22</t>
  </si>
  <si>
    <t xml:space="preserve">During his speech at the High-Level Segment of the United Nations Framework Convention on Climate Change, COP22, Minister of Environment, Walter Garcia, as head of the Ecuadorian delegation, presented the demands of developing countries to support the stop of the accelerated increase in temperature on the planet. His speech was focus on three points: financing, technology transfer and capacity development.
</t>
  </si>
  <si>
    <t>92% of the Ecuador's electricity generation comes from renewable sources</t>
  </si>
  <si>
    <t>Within the context of transparency, Walter Garcia emphasized the need to complement the information presented by developed and developing countries, so that there is a confirmation about the provision and receipt of financial resources.</t>
  </si>
  <si>
    <t>The annual deforestation rate has been reduced by 49% in relation to the last two decades. The actions carried out in adaptation by the country are also important as USD 24 million of national funds and cooperation to projects were allocated in order to tackle food insecurity, water and capacity building for the benefit of more than one million people. All this efforts were made in despite of Ecuador contributing only 0.15% of global greenhouse gas emissions.</t>
  </si>
  <si>
    <t xml:space="preserve">MINISTER OF ENVIRONMENT EXPLAINED ECUADORS POSITION ABOUT CLIMATE CHANGES ISSUES </t>
  </si>
  <si>
    <t>García pointed out that there is a concern that the knowledge generated by the developed countries is privatized while developing countries generate open access environmental goods. This is called the paradox of the open environment and closed knowledge, hence the demand for greater commitment on technology financing and cooperation with countries considerably affected by the effects of climate change.</t>
  </si>
  <si>
    <t xml:space="preserve">WALTER GARCÍA, MINISTER OF ENVIRONMENTE PARTICIPATED AT CLIMATE CHANGE CONVENTION </t>
  </si>
  <si>
    <t xml:space="preserve">Cadena National. Noticiero 7 días en 7 minutos </t>
  </si>
  <si>
    <t>Ecuador presents FORECCSA Project in Morocco as an innovative experience for Climate Change adaptation with an emphasis on food security and gender considerations.</t>
  </si>
  <si>
    <t>Ecuadorean delegation presented at the United Nations Convention on Climate Change COP22 its proposals to stop the accelerated increase in temperature. This plan focus on three points: financing, technology transfer and capacity development through 2020.</t>
  </si>
  <si>
    <t>CLIMATE CHANGE CONVENTION (TVS)</t>
  </si>
  <si>
    <t xml:space="preserve">Climate change adaptation </t>
  </si>
  <si>
    <t>The Minister of Environment, promote the FORECCSA Project in the communities of the Jubones watershed and the province of Pichincha. The objective of this project is to promote climate change adaptation by rural communities that are directly engaged to agriculture in order to guarantee food sovereignty.</t>
  </si>
  <si>
    <t>http://www.ecuadorinmediato.com/index.php?module=Newss&amp;func=news_user_view&amp;id=2818791958</t>
  </si>
  <si>
    <t>MINISTER OF ENVIRONMENT, WALTER GARCÍA CALLS TO COMPLY WITH THE COMMITMENTS ASSUMED IN THE CLIMATE CHANGE CONVENTION</t>
  </si>
  <si>
    <t>During his speech at the High-Level Segment of the United Nations Framework Convention on Climate Change, COP22, Minister of Environment, Walter Garcia, as head of the Ecuadorian delegation, presented the demands of developing countries to support the stop of the accelerated increase in temperature on the planet. His speech was focus on three points: financing, technology transfer and capacity development.</t>
  </si>
  <si>
    <t>Peasants act against climate change</t>
  </si>
  <si>
    <t xml:space="preserve">In order to tackle the negative consequences of climate change in rural family economies, the National Government of Ecuador is implementing Foreccsa project. Project slogan is 'Climate is changing, for a good diet we adapt'. This project began in 2011 and will be in force until 2018.
</t>
  </si>
  <si>
    <t xml:space="preserve">http://www.eltelegrafo.com.ec/Newss/economia/8/los-campesinos-actuan-frente-al-cambio-climatico </t>
  </si>
  <si>
    <t xml:space="preserve">It was planned to finance the monitoring system's updating and its related monitoring field visits. The first activity was focused on adjust and review the logical framework within project extension time approved in June 2016. Since July the Project team has been working on updating the monitoring system. In 2017 the update will be complemented and resources will be used in order to complete this activity. The second activity was accomplished by optimizing resources as it was done in combination with other project. Therefore it can be summarizing more as optimizacion of funds than underachievement. </t>
  </si>
  <si>
    <t xml:space="preserve">In compliance with the recommendations of the interim evaluation, the system has been revised and simplified, some tools to facilitate its implementation and operation. A global monitoring tool was generated and we work on updating the monitoring system generated in previous years. The interim evaluation also recommended adaptive management with an opening for adjustments in the results framework and indicators. Project team generated a proposal and it was socialized with members of the CRC and CT. However, it was considered that it was not appropriate to change the indicators at the level of Project progress. Thus it was decided that in the report of achievement of indicators will be explain the reasons on how they were addressed. 
To supplement the monitoring of the adaptation measures nine typologies which group shares common topics were generated and for each set of indicators that will be monitored before and after Project implementation was generated. Thus these indicators of each typologies of adaptation measures will allow us to relate which adaptation measure was more effective according to the locality.
Additionally the closing process of the implementation of the measures was generated and applied it in six Jubones measures that were in charge of CCRJ. There is a specific report of these six measures, as well as an overall report.
Marginally Satisfactory (MS) was rated because there is a significant progress, however, the updating of the monitoring system needs be completed. The system is not yet complete due to the following reasons: 
a) The CDN was expected to approve the proposal for updating and adjusting the logical framework by June but this was delayed and as a result of it was not presented to the donor.  In order to not further delay the activities the Project team work in an updating of the system from July. 
b) Because the current dynamics of the Project a new monitoring needs were added to the system (for example, detailed monitoring of measures, training, etc.). In addition to this, the Logical Framework has as an indicator of "Number of items such as: measures implemented, persons trained and women participants, however, these items do not fully reflect the results achieved. 
c) The creation of a web system that automatically integrates the information of parishes, zones, provinces and watershed for the whole project should be completed. The budget planned for this activity will be used in 2017.
</t>
  </si>
  <si>
    <t xml:space="preserve">Project activities have considered ways to facilitate participation of women and men taking into account their different needs and interests. Decision-making workshops promoted by the project are held at times that fit well with women's schedules in order to ensure their participation. During the development of workshops, facilities for child care are provided by project staff so that participants can concentrate in the training. To date the participation of women is around 56%. An alliance with UN Women supports the effective mainstreaming of gender. Training project staff in gender issues has shown to be a highly potential tool to generate knowledge, develop skills and raise awareness. As a result, they have shown increased ownership and commitment because it has stopped being just a speech and it has become a practical experience. The strategies used is first to identify limitations of local women for participation; encourage the presence of women among local leaders; promote the voice of women in all of the activities; value the opinions and suggestions of women; register the attendance of women; increase awareness of men; and create a baseline on participation and decision-making of men and women at the beginning of implementation, which will allow monitor progress and establish changes by the end of the project.
The results achieved are in line acoording to planned and  this output is transversal for the all activities to the execution of the measures that are under way. The budget planned for this activity will be used in 2017. </t>
  </si>
  <si>
    <t>The project team has defined the incentive strategy and it has three purposes: (i) support to overcome barriers that have measures operations and its sustainability, (ii) strengthen the work on food and nutrition security with women's groups, and (iii) incentive families who have shown adequate levels of participation / results in the actions of the measures.
The incentives strategy will allow to rescue ancestral knowledge community and ethnic. A recruitment process for a consultant was launched, however the consultant did not meet all the requirements. 
Thus, in order to align the incentive strategy with cultural and community practices, the project team has generated a methodological conceptual proposal. This document has been submitted to CRC for approval and subsequently the strategy will be implemented. This proposal will be submitted for approval in the first quarter of 2017
Marginally Satisfactory (MS) was rated for this activity because the hiring of this consultancy could not be launched, since there were no consistent proposals, which delayed the execution time of this activity. In order to overcome this issue the team generated a strategy that responds to the needs to strengthen measures sustainability and the approach to food and nutritional security. The budget planned for this activity will be used in 2017.</t>
  </si>
  <si>
    <t xml:space="preserve">Two community and institutional meetings were held in which parishes representatives debated key topics related to climate change, food security, and gender. The implementation of adaptation measures began with promotional activities and exchange of best practices within communities that other adaptation projects have also implemented. The measures that are implemented include events and exchange of experience workshops based on the lessons learned through project monitoring, which also contributes information for the systemization of experiences.
On 2016, participating communities of Pichincha and the Jubones watershed have shared their adaptation experiences through exhibitions to a group of journalists in events prior to COP 22. Local fairs on food security and results of adaptation measures have also been developed. The results and community participation have caught the media attention and so the authorities (see Annex 3). 
To promote the activities of the project, two videos have been developed. One the videos has testimonial focus and was released in the Habitat III event as an example for building resilience and also used by the Minister of Environment in a side event in COP 22 Marrakesh called Sustainable Innovation Forum.
Additionally, in order to exchange experiences between communities a tour was organized for the local producers in order to see different measures and practices, these activities were carried out in Pichincha and Jubones.
Finally, an exchange of experiences has been achieved between WFP and FORECCSA project. WFP staff and their governmental partners from Imbabura province visited FORECCSA Project activities in Cayambe with the aim to exchange experiences of the integral approach of FORECCSA in climate change and food security.
This activity corresponds to the systematization that its implementation have been planned for 2017. However the ToRs have been prepared and there are several publications, videos reports and others as inputs for this systematization. This activity was planned with deadline for November 2016, when the extension of the project was approved until May 2018 , this activity was rescheduled along with the use of resources. </t>
  </si>
  <si>
    <t>Risk of Extreme climate events which could setback gains made by the project</t>
  </si>
  <si>
    <t xml:space="preserve">Identified at the end of the year 2015: Weather conditions impact in infrastructure construction due to rainy season making construction work very difficult. </t>
  </si>
  <si>
    <t>Ecuador experiences extreme events on a yearly basis. The project assets constructed are designed to withstand severe flooding however these climatic events have impacted the construction chronogram of some of the infrastructure's project. This has been identified has high starting end of 2015 and has caused significant delayed in 2016 without jeopardize the finalization of works and infrastructure. During 2016 significant improvements have been done in order to better plan works and monitor calendar of providers and constructors. We keep the rating overall at Medium for 2017 taking into account lessons learnt from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</si>
</sst>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 #,##0.00_);_(&quot;$&quot;\ * \(#,##0.00\);_(&quot;$&quot;\ * &quot;-&quot;??_);_(@_)"/>
    <numFmt numFmtId="165" formatCode="dd\-mmm\-yyyy"/>
    <numFmt numFmtId="166" formatCode="_(* #,##0.00_);_(* \(#,##0.00\);_(* \-??_);_(@_)"/>
    <numFmt numFmtId="167" formatCode="_(* #,##0_);_(* \(#,##0\);_(* &quot;-&quot;??_);_(@_)"/>
    <numFmt numFmtId="168" formatCode="[$-409]mmmm\ d\,\ yyyy;@"/>
  </numFmts>
  <fonts count="7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8"/>
      <color indexed="81"/>
      <name val="Tahoma"/>
      <family val="2"/>
    </font>
    <font>
      <b/>
      <sz val="8"/>
      <color indexed="81"/>
      <name val="Tahoma"/>
      <family val="2"/>
    </font>
    <font>
      <sz val="11"/>
      <color rgb="FFFF0000"/>
      <name val="Times New Roman"/>
      <family val="1"/>
    </font>
    <font>
      <sz val="11"/>
      <color rgb="FF000000"/>
      <name val="Calibri"/>
      <family val="2"/>
      <charset val="1"/>
    </font>
    <font>
      <b/>
      <sz val="11"/>
      <color theme="0"/>
      <name val="Times New Roman"/>
      <family val="1"/>
    </font>
    <font>
      <u/>
      <sz val="11"/>
      <name val="Times New Roman"/>
      <family val="1"/>
    </font>
    <font>
      <sz val="11"/>
      <color theme="0"/>
      <name val="Times New Roman"/>
      <family val="1"/>
    </font>
    <font>
      <b/>
      <sz val="10"/>
      <name val="Times New Roman"/>
      <family val="1"/>
    </font>
    <font>
      <b/>
      <sz val="9"/>
      <name val="Times New Roman"/>
      <family val="1"/>
    </font>
    <font>
      <b/>
      <i/>
      <sz val="12"/>
      <name val="Times New Roman"/>
      <family val="1"/>
    </font>
    <font>
      <i/>
      <sz val="11"/>
      <color rgb="FFFF0000"/>
      <name val="Times New Roman"/>
      <family val="1"/>
    </font>
    <font>
      <u/>
      <sz val="11"/>
      <color theme="1"/>
      <name val="Times New Roman"/>
      <family val="1"/>
    </font>
    <font>
      <u/>
      <sz val="11"/>
      <color theme="1"/>
      <name val="Calibri"/>
      <family val="2"/>
    </font>
    <font>
      <b/>
      <i/>
      <sz val="11"/>
      <color theme="1"/>
      <name val="Times New Roman"/>
      <family val="1"/>
    </font>
    <font>
      <sz val="10"/>
      <color rgb="FFFF0000"/>
      <name val="Times New Roman"/>
      <family val="1"/>
    </font>
    <font>
      <b/>
      <sz val="11"/>
      <color indexed="8"/>
      <name val="Calibri"/>
      <family val="2"/>
    </font>
    <font>
      <sz val="8"/>
      <color indexed="8"/>
      <name val="Calibri"/>
      <family val="2"/>
    </font>
    <font>
      <b/>
      <sz val="8"/>
      <color indexed="8"/>
      <name val="Calibri"/>
      <family val="2"/>
    </font>
    <font>
      <u/>
      <sz val="10"/>
      <color theme="10"/>
      <name val="Times New Roman"/>
      <family val="1"/>
    </font>
    <font>
      <sz val="8"/>
      <name val="Calibri"/>
      <family val="2"/>
    </font>
    <font>
      <sz val="10"/>
      <color indexed="8"/>
      <name val="Times New Roman"/>
      <family val="1"/>
    </font>
    <font>
      <sz val="10"/>
      <color rgb="FF0070C0"/>
      <name val="Times New Roman"/>
      <family val="1"/>
    </font>
    <font>
      <sz val="10"/>
      <color theme="1"/>
      <name val="Times New Roman"/>
      <family val="1"/>
    </font>
    <font>
      <u/>
      <sz val="10"/>
      <color rgb="FF0070C0"/>
      <name val="Times New Roman"/>
      <family val="1"/>
    </font>
    <font>
      <b/>
      <sz val="11"/>
      <color theme="5" tint="-0.249977111117893"/>
      <name val="Times New Roman"/>
      <family val="1"/>
    </font>
    <font>
      <sz val="11"/>
      <color theme="5" tint="-0.249977111117893"/>
      <name val="Times New Roman"/>
      <family val="1"/>
    </font>
    <font>
      <b/>
      <u/>
      <sz val="11"/>
      <color indexed="8"/>
      <name val="Times New Roman"/>
      <family val="1"/>
    </font>
    <font>
      <b/>
      <sz val="16"/>
      <name val="Times New Roman"/>
      <family val="1"/>
      <charset val="1"/>
    </font>
    <font>
      <sz val="11"/>
      <name val="Times New Roman"/>
      <family val="1"/>
      <charset val="1"/>
    </font>
    <font>
      <i/>
      <sz val="11"/>
      <name val="Times New Roman"/>
      <family val="1"/>
      <charset val="1"/>
    </font>
    <font>
      <b/>
      <sz val="11"/>
      <name val="Times New Roman"/>
      <family val="1"/>
      <charset val="1"/>
    </font>
    <font>
      <b/>
      <i/>
      <sz val="11"/>
      <color theme="0"/>
      <name val="Times New Roman"/>
      <family val="1"/>
    </font>
    <font>
      <b/>
      <sz val="9"/>
      <color rgb="FF9C6500"/>
      <name val="Calibri"/>
      <family val="2"/>
      <scheme val="minor"/>
    </font>
    <font>
      <sz val="10"/>
      <name val="Calibri"/>
      <family val="2"/>
      <scheme val="minor"/>
    </font>
    <font>
      <sz val="11"/>
      <color rgb="FF000000"/>
      <name val="Calibri"/>
      <family val="2"/>
      <scheme val="minor"/>
    </font>
    <font>
      <sz val="10"/>
      <color theme="1"/>
      <name val="Calibri"/>
      <family val="2"/>
      <scheme val="minor"/>
    </font>
    <font>
      <sz val="10"/>
      <name val="Calibri"/>
      <family val="2"/>
    </font>
    <font>
      <b/>
      <u/>
      <sz val="11"/>
      <name val="Times New Roman"/>
      <family val="1"/>
    </font>
    <font>
      <sz val="11"/>
      <color rgb="FFFF0000"/>
      <name val="Calibri"/>
      <family val="2"/>
      <scheme val="minor"/>
    </font>
    <font>
      <sz val="9"/>
      <color indexed="81"/>
      <name val="Tahoma"/>
      <family val="2"/>
    </font>
    <font>
      <b/>
      <sz val="9"/>
      <color indexed="81"/>
      <name val="Tahoma"/>
      <family val="2"/>
    </font>
  </fonts>
  <fills count="3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bgColor indexed="22"/>
      </patternFill>
    </fill>
    <fill>
      <patternFill patternType="solid">
        <fgColor theme="4" tint="0.39997558519241921"/>
        <bgColor indexed="64"/>
      </patternFill>
    </fill>
    <fill>
      <patternFill patternType="solid">
        <fgColor rgb="FFFFFFFF"/>
        <bgColor rgb="FFEEECE1"/>
      </patternFill>
    </fill>
    <fill>
      <patternFill patternType="solid">
        <fgColor theme="0"/>
        <bgColor rgb="FFFFFF00"/>
      </patternFill>
    </fill>
    <fill>
      <patternFill patternType="solid">
        <fgColor rgb="FFD7E4BD"/>
        <bgColor rgb="FFD9D9D9"/>
      </patternFill>
    </fill>
    <fill>
      <patternFill patternType="solid">
        <fgColor theme="0"/>
        <bgColor rgb="FFEEECE1"/>
      </patternFill>
    </fill>
    <fill>
      <patternFill patternType="solid">
        <fgColor rgb="FFFFFF00"/>
        <bgColor indexed="64"/>
      </patternFill>
    </fill>
    <fill>
      <patternFill patternType="solid">
        <fgColor indexed="11"/>
        <bgColor auto="1"/>
      </patternFill>
    </fill>
    <fill>
      <patternFill patternType="solid">
        <fgColor indexed="9"/>
        <bgColor auto="1"/>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rgb="FFD9D9D9"/>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5" tint="0.59999389629810485"/>
        <bgColor indexed="64"/>
      </patternFill>
    </fill>
    <fill>
      <patternFill patternType="solid">
        <fgColor rgb="FF0070C0"/>
        <bgColor indexed="64"/>
      </patternFill>
    </fill>
    <fill>
      <patternFill patternType="solid">
        <fgColor theme="6"/>
        <bgColor indexed="64"/>
      </patternFill>
    </fill>
  </fills>
  <borders count="10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medium">
        <color indexed="64"/>
      </right>
      <top/>
      <bottom/>
      <diagonal/>
    </border>
    <border>
      <left/>
      <right style="medium">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8"/>
      </right>
      <top/>
      <bottom style="thin">
        <color indexed="8"/>
      </bottom>
      <diagonal/>
    </border>
    <border>
      <left style="thin">
        <color indexed="10"/>
      </left>
      <right/>
      <top/>
      <bottom/>
      <diagonal/>
    </border>
    <border>
      <left style="thin">
        <color indexed="64"/>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right style="medium">
        <color rgb="FF000000"/>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thin">
        <color auto="1"/>
      </top>
      <bottom/>
      <diagonal/>
    </border>
    <border>
      <left style="thin">
        <color auto="1"/>
      </left>
      <right style="thin">
        <color indexed="64"/>
      </right>
      <top style="medium">
        <color auto="1"/>
      </top>
      <bottom/>
      <diagonal/>
    </border>
    <border>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auto="1"/>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style="thin">
        <color auto="1"/>
      </bottom>
      <diagonal/>
    </border>
    <border>
      <left style="medium">
        <color auto="1"/>
      </left>
      <right style="medium">
        <color auto="1"/>
      </right>
      <top/>
      <bottom style="thin">
        <color auto="1"/>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auto="1"/>
      </left>
      <right/>
      <top style="thin">
        <color auto="1"/>
      </top>
      <bottom/>
      <diagonal/>
    </border>
    <border>
      <left style="medium">
        <color auto="1"/>
      </left>
      <right style="medium">
        <color indexed="64"/>
      </right>
      <top style="thin">
        <color indexed="8"/>
      </top>
      <bottom/>
      <diagonal/>
    </border>
    <border>
      <left style="medium">
        <color auto="1"/>
      </left>
      <right/>
      <top/>
      <bottom style="thin">
        <color indexed="64"/>
      </bottom>
      <diagonal/>
    </border>
    <border>
      <left/>
      <right style="medium">
        <color indexed="64"/>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s>
  <cellStyleXfs count="12">
    <xf numFmtId="0" fontId="0" fillId="0" borderId="0"/>
    <xf numFmtId="0" fontId="15" fillId="0" borderId="0" applyNumberFormat="0" applyFill="0" applyBorder="0" applyAlignment="0" applyProtection="0">
      <alignment vertical="top"/>
      <protection locked="0"/>
    </xf>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43" fontId="37" fillId="0" borderId="0" applyFont="0" applyFill="0" applyBorder="0" applyAlignment="0" applyProtection="0"/>
    <xf numFmtId="9" fontId="37" fillId="0" borderId="0" applyFont="0" applyFill="0" applyBorder="0" applyAlignment="0" applyProtection="0"/>
    <xf numFmtId="0" fontId="15" fillId="0" borderId="0" applyNumberFormat="0" applyFill="0" applyBorder="0" applyAlignment="0" applyProtection="0">
      <alignment vertical="top"/>
      <protection locked="0"/>
    </xf>
    <xf numFmtId="0" fontId="37" fillId="0" borderId="0"/>
    <xf numFmtId="0" fontId="41" fillId="0" borderId="0"/>
    <xf numFmtId="166" fontId="41" fillId="0" borderId="0" applyBorder="0" applyProtection="0"/>
    <xf numFmtId="164" fontId="37" fillId="0" borderId="0" applyFont="0" applyFill="0" applyBorder="0" applyAlignment="0" applyProtection="0"/>
  </cellStyleXfs>
  <cellXfs count="1202">
    <xf numFmtId="0" fontId="0" fillId="0" borderId="0" xfId="0"/>
    <xf numFmtId="0" fontId="16" fillId="0" borderId="0" xfId="0" applyFont="1" applyFill="1" applyProtection="1"/>
    <xf numFmtId="0" fontId="1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3" xfId="0" applyNumberFormat="1" applyFont="1" applyFill="1" applyBorder="1" applyAlignment="1" applyProtection="1">
      <alignment horizontal="left"/>
      <protection locked="0"/>
    </xf>
    <xf numFmtId="0" fontId="16" fillId="0" borderId="0" xfId="0" applyFont="1" applyAlignment="1">
      <alignment horizontal="left" vertical="center"/>
    </xf>
    <xf numFmtId="0" fontId="16" fillId="0" borderId="0" xfId="0" applyFont="1"/>
    <xf numFmtId="0" fontId="16" fillId="0" borderId="0" xfId="0" applyFont="1" applyFill="1"/>
    <xf numFmtId="0" fontId="2" fillId="0" borderId="0" xfId="0" applyFont="1" applyFill="1" applyBorder="1" applyAlignment="1" applyProtection="1">
      <alignment vertical="top" wrapText="1"/>
    </xf>
    <xf numFmtId="0" fontId="16"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6" fillId="0" borderId="0" xfId="0" applyFont="1" applyAlignment="1"/>
    <xf numFmtId="0" fontId="1" fillId="2" borderId="5" xfId="0" applyFont="1" applyFill="1" applyBorder="1" applyAlignment="1" applyProtection="1">
      <alignment vertical="top" wrapText="1"/>
    </xf>
    <xf numFmtId="0" fontId="11" fillId="2" borderId="4" xfId="0" applyFont="1" applyFill="1" applyBorder="1" applyAlignment="1" applyProtection="1">
      <alignment horizontal="left" vertical="top" wrapText="1"/>
    </xf>
    <xf numFmtId="0" fontId="11" fillId="2" borderId="6"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 fillId="3" borderId="14"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0"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6" xfId="0" applyFont="1" applyFill="1" applyBorder="1" applyAlignment="1" applyProtection="1">
      <alignment vertical="top" wrapText="1"/>
    </xf>
    <xf numFmtId="0" fontId="1" fillId="3" borderId="17" xfId="0" applyFont="1" applyFill="1" applyBorder="1" applyProtection="1"/>
    <xf numFmtId="0" fontId="10" fillId="3" borderId="14" xfId="0" applyFont="1" applyFill="1" applyBorder="1" applyAlignment="1" applyProtection="1">
      <alignment vertical="top" wrapText="1"/>
    </xf>
    <xf numFmtId="0" fontId="10" fillId="3" borderId="13"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10" fillId="3" borderId="15" xfId="0" applyFont="1" applyFill="1" applyBorder="1" applyAlignment="1" applyProtection="1">
      <alignment vertical="top" wrapText="1"/>
    </xf>
    <xf numFmtId="0" fontId="10" fillId="3" borderId="16" xfId="0" applyFont="1" applyFill="1" applyBorder="1" applyAlignment="1" applyProtection="1">
      <alignment vertical="top" wrapText="1"/>
    </xf>
    <xf numFmtId="0" fontId="10" fillId="3" borderId="17" xfId="0" applyFont="1" applyFill="1" applyBorder="1" applyAlignment="1" applyProtection="1">
      <alignment vertical="top" wrapText="1"/>
    </xf>
    <xf numFmtId="0" fontId="16" fillId="3" borderId="10"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11" xfId="0" applyFont="1" applyFill="1" applyBorder="1"/>
    <xf numFmtId="0" fontId="16" fillId="3" borderId="12" xfId="0" applyFont="1" applyFill="1" applyBorder="1"/>
    <xf numFmtId="0" fontId="16" fillId="3" borderId="13" xfId="0" applyFont="1" applyFill="1" applyBorder="1" applyAlignment="1">
      <alignment horizontal="left" vertical="center"/>
    </xf>
    <xf numFmtId="0" fontId="1" fillId="3" borderId="14" xfId="0" applyFont="1" applyFill="1" applyBorder="1" applyAlignment="1" applyProtection="1">
      <alignment vertical="top" wrapText="1"/>
    </xf>
    <xf numFmtId="0" fontId="1" fillId="3" borderId="13"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15" xfId="0" applyFont="1" applyFill="1" applyBorder="1" applyAlignment="1" applyProtection="1">
      <alignment horizontal="left" vertical="center" wrapText="1"/>
    </xf>
    <xf numFmtId="0" fontId="2" fillId="3" borderId="16" xfId="0" applyFont="1" applyFill="1" applyBorder="1" applyAlignment="1" applyProtection="1">
      <alignment vertical="top" wrapText="1"/>
    </xf>
    <xf numFmtId="0" fontId="1" fillId="3" borderId="17" xfId="0" applyFont="1" applyFill="1" applyBorder="1" applyAlignment="1" applyProtection="1">
      <alignment vertical="top" wrapText="1"/>
    </xf>
    <xf numFmtId="0" fontId="16" fillId="3" borderId="11" xfId="0" applyFont="1" applyFill="1" applyBorder="1" applyProtection="1"/>
    <xf numFmtId="0" fontId="16" fillId="3" borderId="12" xfId="0" applyFont="1" applyFill="1" applyBorder="1" applyProtection="1"/>
    <xf numFmtId="0" fontId="16" fillId="3" borderId="0" xfId="0" applyFont="1" applyFill="1" applyBorder="1" applyProtection="1"/>
    <xf numFmtId="0" fontId="16" fillId="3" borderId="14"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14"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16" xfId="0" applyFont="1" applyFill="1" applyBorder="1" applyProtection="1"/>
    <xf numFmtId="0" fontId="18" fillId="0" borderId="1" xfId="0" applyFont="1" applyBorder="1" applyAlignment="1">
      <alignment horizontal="center" readingOrder="1"/>
    </xf>
    <xf numFmtId="0" fontId="0" fillId="3" borderId="11" xfId="0" applyFill="1" applyBorder="1"/>
    <xf numFmtId="0" fontId="0" fillId="3" borderId="12" xfId="0" applyFill="1" applyBorder="1"/>
    <xf numFmtId="0" fontId="0" fillId="3" borderId="13" xfId="0" applyFill="1" applyBorder="1"/>
    <xf numFmtId="0" fontId="0" fillId="3" borderId="0" xfId="0" applyFill="1" applyBorder="1"/>
    <xf numFmtId="0" fontId="0" fillId="3" borderId="14" xfId="0" applyFill="1" applyBorder="1"/>
    <xf numFmtId="0" fontId="19" fillId="3" borderId="10" xfId="0" applyFont="1" applyFill="1" applyBorder="1" applyAlignment="1">
      <alignment vertical="center"/>
    </xf>
    <xf numFmtId="0" fontId="19" fillId="3" borderId="13" xfId="0" applyFont="1" applyFill="1" applyBorder="1" applyAlignment="1">
      <alignment vertical="center"/>
    </xf>
    <xf numFmtId="0" fontId="19"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6" fillId="3" borderId="10" xfId="0" applyFont="1" applyFill="1" applyBorder="1"/>
    <xf numFmtId="0" fontId="16" fillId="3" borderId="13" xfId="0" applyFont="1" applyFill="1" applyBorder="1"/>
    <xf numFmtId="0" fontId="16" fillId="0" borderId="0" xfId="0" applyFont="1" applyFill="1" applyAlignment="1" applyProtection="1">
      <alignment horizontal="right"/>
    </xf>
    <xf numFmtId="0" fontId="16" fillId="3" borderId="10" xfId="0" applyFont="1" applyFill="1" applyBorder="1" applyAlignment="1" applyProtection="1">
      <alignment horizontal="right"/>
    </xf>
    <xf numFmtId="0" fontId="16" fillId="3" borderId="11" xfId="0" applyFont="1" applyFill="1" applyBorder="1" applyAlignment="1" applyProtection="1">
      <alignment horizontal="right"/>
    </xf>
    <xf numFmtId="0" fontId="16" fillId="3" borderId="13" xfId="0" applyFont="1" applyFill="1" applyBorder="1" applyAlignment="1" applyProtection="1">
      <alignment horizontal="right"/>
    </xf>
    <xf numFmtId="0" fontId="16" fillId="3" borderId="0" xfId="0" applyFont="1" applyFill="1" applyBorder="1" applyAlignment="1" applyProtection="1">
      <alignment horizontal="right"/>
    </xf>
    <xf numFmtId="0" fontId="1" fillId="3" borderId="13" xfId="0" applyFont="1" applyFill="1" applyBorder="1" applyAlignment="1" applyProtection="1">
      <alignment horizontal="right"/>
    </xf>
    <xf numFmtId="0" fontId="1" fillId="3" borderId="13" xfId="0" applyFont="1" applyFill="1" applyBorder="1" applyAlignment="1" applyProtection="1">
      <alignment horizontal="right" vertical="top" wrapText="1"/>
    </xf>
    <xf numFmtId="0" fontId="2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15" xfId="0" applyFont="1" applyFill="1" applyBorder="1" applyAlignment="1" applyProtection="1">
      <alignment horizontal="right"/>
    </xf>
    <xf numFmtId="0" fontId="1" fillId="3" borderId="16" xfId="0" applyFont="1" applyFill="1" applyBorder="1" applyAlignment="1" applyProtection="1">
      <alignment horizontal="right"/>
    </xf>
    <xf numFmtId="0" fontId="1" fillId="2" borderId="9" xfId="0" applyFont="1" applyFill="1" applyBorder="1" applyAlignment="1" applyProtection="1">
      <alignment vertical="top" wrapText="1"/>
    </xf>
    <xf numFmtId="0" fontId="2" fillId="2" borderId="21" xfId="0" applyFont="1" applyFill="1" applyBorder="1" applyAlignment="1" applyProtection="1">
      <alignment horizontal="right" vertical="center" wrapText="1"/>
    </xf>
    <xf numFmtId="0" fontId="2" fillId="2" borderId="9" xfId="0" applyFont="1" applyFill="1" applyBorder="1" applyAlignment="1" applyProtection="1">
      <alignment horizontal="center" vertical="center" wrapText="1"/>
    </xf>
    <xf numFmtId="0" fontId="22" fillId="2" borderId="1" xfId="0" applyFont="1" applyFill="1" applyBorder="1" applyAlignment="1" applyProtection="1">
      <alignment horizontal="center"/>
    </xf>
    <xf numFmtId="0" fontId="11" fillId="2" borderId="25"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11" fillId="3" borderId="14" xfId="0" applyFont="1" applyFill="1" applyBorder="1" applyAlignment="1">
      <alignment horizontal="center"/>
    </xf>
    <xf numFmtId="0" fontId="21" fillId="3" borderId="1" xfId="0" applyFont="1" applyFill="1" applyBorder="1" applyAlignment="1">
      <alignment horizontal="center" vertical="center" wrapText="1"/>
    </xf>
    <xf numFmtId="0" fontId="0" fillId="0" borderId="0" xfId="0" applyProtection="1"/>
    <xf numFmtId="0" fontId="0" fillId="9" borderId="1" xfId="0" applyFill="1" applyBorder="1" applyProtection="1">
      <protection locked="0"/>
    </xf>
    <xf numFmtId="0" fontId="0" fillId="0" borderId="9" xfId="0" applyBorder="1" applyProtection="1"/>
    <xf numFmtId="0" fontId="30" fillId="11" borderId="5" xfId="0" applyFont="1" applyFill="1" applyBorder="1" applyAlignment="1" applyProtection="1">
      <alignment horizontal="left" vertical="center" wrapText="1"/>
    </xf>
    <xf numFmtId="0" fontId="31" fillId="0" borderId="6" xfId="0" applyFont="1" applyBorder="1" applyAlignment="1" applyProtection="1">
      <alignment horizontal="left" vertical="center"/>
    </xf>
    <xf numFmtId="0" fontId="31" fillId="0" borderId="32" xfId="0" applyFont="1" applyBorder="1" applyAlignment="1" applyProtection="1">
      <alignment horizontal="left" vertical="center"/>
    </xf>
    <xf numFmtId="0" fontId="0" fillId="0" borderId="0" xfId="0" applyAlignment="1" applyProtection="1">
      <alignment horizontal="left"/>
    </xf>
    <xf numFmtId="0" fontId="0" fillId="0" borderId="0" xfId="0" applyProtection="1">
      <protection locked="0"/>
    </xf>
    <xf numFmtId="0" fontId="0" fillId="0" borderId="0" xfId="0" applyBorder="1" applyAlignment="1" applyProtection="1">
      <alignment wrapText="1"/>
    </xf>
    <xf numFmtId="0" fontId="0" fillId="0" borderId="0" xfId="0" applyBorder="1" applyProtection="1"/>
    <xf numFmtId="0" fontId="30" fillId="11" borderId="5" xfId="0" applyFont="1" applyFill="1" applyBorder="1" applyAlignment="1" applyProtection="1">
      <alignment horizontal="center" vertical="center"/>
    </xf>
    <xf numFmtId="0" fontId="0" fillId="0" borderId="0" xfId="0" applyBorder="1" applyAlignment="1" applyProtection="1">
      <alignment horizontal="left" wrapText="1"/>
    </xf>
    <xf numFmtId="0" fontId="0" fillId="0" borderId="0" xfId="0" applyBorder="1" applyAlignment="1" applyProtection="1">
      <alignment horizontal="left" vertical="center" wrapText="1"/>
    </xf>
    <xf numFmtId="0" fontId="30" fillId="11" borderId="6" xfId="0" applyFont="1" applyFill="1" applyBorder="1" applyAlignment="1" applyProtection="1">
      <alignment horizontal="center" vertical="center" wrapText="1"/>
    </xf>
    <xf numFmtId="0" fontId="27" fillId="8" borderId="0" xfId="4" applyProtection="1"/>
    <xf numFmtId="0" fontId="25" fillId="6" borderId="0" xfId="2" applyProtection="1"/>
    <xf numFmtId="0" fontId="26" fillId="7" borderId="0" xfId="3" applyProtection="1"/>
    <xf numFmtId="0" fontId="0" fillId="0" borderId="0" xfId="0" applyAlignment="1" applyProtection="1">
      <alignment wrapText="1"/>
    </xf>
    <xf numFmtId="0" fontId="17" fillId="3" borderId="11" xfId="0" applyFont="1" applyFill="1" applyBorder="1" applyAlignment="1">
      <alignment vertical="top" wrapText="1"/>
    </xf>
    <xf numFmtId="0" fontId="17" fillId="3" borderId="12" xfId="0" applyFont="1" applyFill="1" applyBorder="1" applyAlignment="1">
      <alignment vertical="top" wrapText="1"/>
    </xf>
    <xf numFmtId="0" fontId="15" fillId="3" borderId="16" xfId="1" applyFill="1" applyBorder="1" applyAlignment="1" applyProtection="1">
      <alignment vertical="top" wrapText="1"/>
    </xf>
    <xf numFmtId="0" fontId="15" fillId="3" borderId="17" xfId="1" applyFill="1" applyBorder="1" applyAlignment="1" applyProtection="1">
      <alignment vertical="top" wrapText="1"/>
    </xf>
    <xf numFmtId="0" fontId="0" fillId="10" borderId="1" xfId="0" applyFill="1" applyBorder="1" applyProtection="1"/>
    <xf numFmtId="0" fontId="0" fillId="0" borderId="0" xfId="0" applyAlignment="1">
      <alignment vertical="center" wrapText="1"/>
    </xf>
    <xf numFmtId="0" fontId="1" fillId="2" borderId="1" xfId="0" quotePrefix="1" applyFont="1" applyFill="1" applyBorder="1" applyAlignment="1" applyProtection="1">
      <alignment vertical="top" wrapText="1"/>
      <protection locked="0"/>
    </xf>
    <xf numFmtId="0" fontId="10" fillId="2" borderId="2" xfId="0" applyFont="1" applyFill="1" applyBorder="1" applyProtection="1">
      <protection locked="0"/>
    </xf>
    <xf numFmtId="43" fontId="2" fillId="3" borderId="1" xfId="5" applyFont="1" applyFill="1" applyBorder="1" applyAlignment="1" applyProtection="1">
      <alignment vertical="top" wrapText="1"/>
    </xf>
    <xf numFmtId="0" fontId="2" fillId="2" borderId="12"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horizontal="left" vertical="center" wrapText="1"/>
    </xf>
    <xf numFmtId="43" fontId="11" fillId="2" borderId="0" xfId="5" applyNumberFormat="1" applyFont="1" applyFill="1" applyBorder="1" applyAlignment="1" applyProtection="1">
      <alignment vertical="top" wrapText="1"/>
    </xf>
    <xf numFmtId="9" fontId="42" fillId="14" borderId="0" xfId="6" applyNumberFormat="1" applyFont="1" applyFill="1" applyAlignment="1">
      <alignment vertical="center"/>
    </xf>
    <xf numFmtId="9" fontId="42" fillId="14" borderId="0" xfId="6" applyFont="1" applyFill="1" applyAlignment="1">
      <alignment vertical="center"/>
    </xf>
    <xf numFmtId="0" fontId="11" fillId="2" borderId="23"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21" xfId="0" applyFont="1" applyFill="1" applyBorder="1" applyAlignment="1" applyProtection="1">
      <alignment horizontal="right" vertical="center" wrapText="1"/>
    </xf>
    <xf numFmtId="43" fontId="11" fillId="2" borderId="9" xfId="5" applyNumberFormat="1" applyFont="1" applyFill="1" applyBorder="1" applyAlignment="1" applyProtection="1">
      <alignment vertical="top" wrapText="1"/>
    </xf>
    <xf numFmtId="43" fontId="21" fillId="0" borderId="0" xfId="0" applyNumberFormat="1" applyFont="1" applyAlignment="1">
      <alignment horizontal="left" vertical="center"/>
    </xf>
    <xf numFmtId="43" fontId="1" fillId="0" borderId="0" xfId="0" applyNumberFormat="1" applyFont="1" applyFill="1" applyBorder="1" applyAlignment="1" applyProtection="1">
      <alignment vertical="top" wrapText="1"/>
    </xf>
    <xf numFmtId="43" fontId="16" fillId="0" borderId="0" xfId="0" applyNumberFormat="1" applyFont="1"/>
    <xf numFmtId="166" fontId="41" fillId="0" borderId="0" xfId="0" applyNumberFormat="1" applyFont="1" applyFill="1" applyAlignment="1"/>
    <xf numFmtId="9" fontId="41" fillId="0" borderId="0" xfId="0" applyNumberFormat="1" applyFont="1" applyFill="1" applyAlignment="1"/>
    <xf numFmtId="43" fontId="16" fillId="0" borderId="0" xfId="5" applyNumberFormat="1" applyFont="1"/>
    <xf numFmtId="43" fontId="2" fillId="0" borderId="0" xfId="0" applyNumberFormat="1" applyFont="1" applyFill="1" applyBorder="1" applyAlignment="1" applyProtection="1">
      <alignment vertical="top" wrapText="1"/>
    </xf>
    <xf numFmtId="0" fontId="11" fillId="3" borderId="0" xfId="0" applyFont="1" applyFill="1" applyBorder="1" applyAlignment="1" applyProtection="1">
      <alignment horizontal="center" vertical="center" wrapText="1"/>
    </xf>
    <xf numFmtId="43" fontId="1" fillId="2" borderId="5" xfId="5" applyFont="1" applyFill="1" applyBorder="1" applyAlignment="1" applyProtection="1">
      <alignment vertical="top" wrapText="1"/>
    </xf>
    <xf numFmtId="43" fontId="1" fillId="2" borderId="9" xfId="5" applyFont="1" applyFill="1" applyBorder="1" applyAlignment="1" applyProtection="1">
      <alignment vertical="top" wrapText="1"/>
    </xf>
    <xf numFmtId="43" fontId="16" fillId="2" borderId="0" xfId="5" applyFont="1" applyFill="1"/>
    <xf numFmtId="43" fontId="16" fillId="2" borderId="0" xfId="5" applyFont="1" applyFill="1" applyBorder="1"/>
    <xf numFmtId="43" fontId="1" fillId="2" borderId="0" xfId="5" applyFont="1" applyFill="1" applyBorder="1" applyAlignment="1" applyProtection="1">
      <alignment vertical="top" wrapText="1"/>
    </xf>
    <xf numFmtId="43" fontId="16" fillId="2" borderId="0" xfId="5" applyFont="1" applyFill="1" applyAlignment="1">
      <alignment wrapText="1"/>
    </xf>
    <xf numFmtId="43" fontId="44" fillId="3" borderId="0" xfId="0" applyNumberFormat="1" applyFont="1" applyFill="1" applyBorder="1" applyAlignment="1" applyProtection="1">
      <alignment vertical="top" wrapText="1"/>
    </xf>
    <xf numFmtId="43" fontId="1" fillId="2" borderId="22" xfId="5" applyFont="1" applyFill="1" applyBorder="1" applyAlignment="1" applyProtection="1">
      <alignment vertical="top" wrapText="1"/>
    </xf>
    <xf numFmtId="17" fontId="10" fillId="2" borderId="3" xfId="0" quotePrefix="1" applyNumberFormat="1" applyFont="1" applyFill="1" applyBorder="1" applyAlignment="1" applyProtection="1">
      <alignment horizontal="center" vertical="center"/>
    </xf>
    <xf numFmtId="0" fontId="16" fillId="0" borderId="0" xfId="0" applyFont="1" applyAlignment="1">
      <alignment vertical="center"/>
    </xf>
    <xf numFmtId="3" fontId="1" fillId="3" borderId="0" xfId="0" applyNumberFormat="1" applyFont="1" applyFill="1" applyBorder="1" applyAlignment="1" applyProtection="1">
      <alignment vertical="top" wrapText="1"/>
    </xf>
    <xf numFmtId="43" fontId="1" fillId="3" borderId="0" xfId="0" applyNumberFormat="1" applyFont="1" applyFill="1" applyBorder="1" applyAlignment="1" applyProtection="1">
      <alignment vertical="top" wrapText="1"/>
    </xf>
    <xf numFmtId="0" fontId="10" fillId="0" borderId="0" xfId="0" applyFont="1"/>
    <xf numFmtId="0" fontId="10" fillId="17" borderId="10" xfId="0" applyFont="1" applyFill="1" applyBorder="1"/>
    <xf numFmtId="0" fontId="10" fillId="17" borderId="11" xfId="0" applyFont="1" applyFill="1" applyBorder="1"/>
    <xf numFmtId="167" fontId="10" fillId="17" borderId="11" xfId="5" applyNumberFormat="1" applyFont="1" applyFill="1" applyBorder="1" applyAlignment="1">
      <alignment horizontal="center"/>
    </xf>
    <xf numFmtId="0" fontId="10" fillId="17" borderId="11" xfId="0" applyFont="1" applyFill="1" applyBorder="1" applyAlignment="1">
      <alignment horizontal="center"/>
    </xf>
    <xf numFmtId="0" fontId="3" fillId="17" borderId="11" xfId="0" applyFont="1" applyFill="1" applyBorder="1" applyAlignment="1">
      <alignment horizontal="center"/>
    </xf>
    <xf numFmtId="0" fontId="10" fillId="17" borderId="12" xfId="0" applyFont="1" applyFill="1" applyBorder="1"/>
    <xf numFmtId="0" fontId="10" fillId="17" borderId="13" xfId="0" applyFont="1" applyFill="1" applyBorder="1"/>
    <xf numFmtId="0" fontId="10" fillId="17" borderId="14" xfId="0" applyFont="1" applyFill="1" applyBorder="1"/>
    <xf numFmtId="0" fontId="10" fillId="17" borderId="0" xfId="0" applyFont="1" applyFill="1" applyBorder="1"/>
    <xf numFmtId="167" fontId="10" fillId="17" borderId="0" xfId="5" applyNumberFormat="1" applyFont="1" applyFill="1" applyBorder="1" applyAlignment="1">
      <alignment horizontal="center"/>
    </xf>
    <xf numFmtId="0" fontId="10" fillId="17" borderId="0" xfId="0" applyFont="1" applyFill="1" applyBorder="1" applyAlignment="1">
      <alignment horizontal="center"/>
    </xf>
    <xf numFmtId="0" fontId="3" fillId="17" borderId="0" xfId="0" applyFont="1" applyFill="1" applyBorder="1" applyAlignment="1">
      <alignment horizontal="center"/>
    </xf>
    <xf numFmtId="0" fontId="10" fillId="17" borderId="13" xfId="0" applyFont="1" applyFill="1" applyBorder="1" applyAlignment="1">
      <alignment vertical="center"/>
    </xf>
    <xf numFmtId="0" fontId="10" fillId="17" borderId="14" xfId="0" applyFont="1" applyFill="1" applyBorder="1" applyAlignment="1">
      <alignment vertical="center"/>
    </xf>
    <xf numFmtId="0" fontId="10" fillId="0" borderId="0" xfId="0" applyFont="1" applyAlignment="1">
      <alignment vertical="center"/>
    </xf>
    <xf numFmtId="0" fontId="11" fillId="17" borderId="13" xfId="0" applyFont="1" applyFill="1" applyBorder="1" applyAlignment="1">
      <alignment horizontal="center" vertical="center"/>
    </xf>
    <xf numFmtId="0" fontId="11" fillId="17" borderId="14" xfId="0" applyFont="1" applyFill="1" applyBorder="1" applyAlignment="1">
      <alignment horizontal="center" vertical="center"/>
    </xf>
    <xf numFmtId="0" fontId="11" fillId="0" borderId="0" xfId="0" applyFont="1" applyAlignment="1">
      <alignment horizontal="center" vertical="center"/>
    </xf>
    <xf numFmtId="0" fontId="47" fillId="17" borderId="13" xfId="0" applyFont="1" applyFill="1" applyBorder="1" applyAlignment="1">
      <alignment vertical="center"/>
    </xf>
    <xf numFmtId="0" fontId="47" fillId="17" borderId="14" xfId="0" applyFont="1" applyFill="1" applyBorder="1" applyAlignment="1">
      <alignment vertical="center"/>
    </xf>
    <xf numFmtId="0" fontId="47" fillId="0" borderId="0" xfId="0" applyFont="1" applyAlignment="1">
      <alignment vertical="center"/>
    </xf>
    <xf numFmtId="0" fontId="10" fillId="2" borderId="0" xfId="0" applyFont="1" applyFill="1" applyBorder="1"/>
    <xf numFmtId="0" fontId="8" fillId="0" borderId="0" xfId="0" applyFont="1"/>
    <xf numFmtId="0" fontId="14" fillId="0" borderId="0" xfId="0" applyFont="1"/>
    <xf numFmtId="43" fontId="1" fillId="2" borderId="47" xfId="5" applyFont="1" applyFill="1" applyBorder="1" applyAlignment="1" applyProtection="1">
      <alignment vertical="top" wrapText="1"/>
    </xf>
    <xf numFmtId="0" fontId="10" fillId="13" borderId="48" xfId="0" applyFont="1" applyFill="1" applyBorder="1" applyAlignment="1" applyProtection="1">
      <alignment vertical="top" wrapText="1"/>
    </xf>
    <xf numFmtId="0" fontId="10" fillId="3" borderId="0" xfId="0" applyFont="1" applyFill="1" applyBorder="1" applyAlignment="1" applyProtection="1">
      <alignment horizontal="left" vertical="top"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43" fontId="16" fillId="0" borderId="0" xfId="0" applyNumberFormat="1"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xf>
    <xf numFmtId="43" fontId="41" fillId="0" borderId="0" xfId="5" applyFont="1"/>
    <xf numFmtId="166" fontId="41" fillId="0" borderId="0" xfId="5" applyNumberFormat="1" applyFont="1"/>
    <xf numFmtId="0" fontId="16" fillId="0" borderId="0" xfId="0" applyFont="1" applyFill="1" applyBorder="1"/>
    <xf numFmtId="0" fontId="7" fillId="0" borderId="0" xfId="0" applyFont="1" applyFill="1" applyBorder="1" applyAlignment="1" applyProtection="1">
      <alignment vertical="top" wrapText="1"/>
    </xf>
    <xf numFmtId="0" fontId="16" fillId="3" borderId="11" xfId="0" applyFont="1" applyFill="1" applyBorder="1" applyAlignment="1"/>
    <xf numFmtId="0" fontId="16" fillId="3" borderId="0" xfId="0" applyFont="1" applyFill="1" applyBorder="1" applyAlignment="1"/>
    <xf numFmtId="0" fontId="16" fillId="2" borderId="1" xfId="0" applyFont="1" applyFill="1" applyBorder="1" applyAlignment="1">
      <alignment horizontal="center" vertical="center"/>
    </xf>
    <xf numFmtId="0" fontId="16" fillId="3" borderId="0" xfId="0" applyFont="1" applyFill="1"/>
    <xf numFmtId="0" fontId="16" fillId="2" borderId="1" xfId="0" applyFont="1" applyFill="1" applyBorder="1" applyAlignment="1"/>
    <xf numFmtId="0" fontId="16" fillId="3" borderId="0" xfId="0" applyFont="1" applyFill="1" applyAlignment="1">
      <alignment horizontal="left" vertical="center"/>
    </xf>
    <xf numFmtId="0" fontId="16" fillId="3" borderId="16" xfId="0" applyFont="1" applyFill="1" applyBorder="1" applyAlignment="1"/>
    <xf numFmtId="0" fontId="16" fillId="3" borderId="9" xfId="0" applyFont="1" applyFill="1" applyBorder="1" applyAlignment="1" applyProtection="1">
      <alignment vertical="top" wrapText="1"/>
    </xf>
    <xf numFmtId="0" fontId="16" fillId="17" borderId="10" xfId="0" applyFont="1" applyFill="1" applyBorder="1"/>
    <xf numFmtId="0" fontId="16" fillId="17" borderId="11" xfId="0" applyFont="1" applyFill="1" applyBorder="1"/>
    <xf numFmtId="0" fontId="16" fillId="17" borderId="12" xfId="0" applyFont="1" applyFill="1" applyBorder="1"/>
    <xf numFmtId="0" fontId="16" fillId="17" borderId="13" xfId="0" applyFont="1" applyFill="1" applyBorder="1"/>
    <xf numFmtId="0" fontId="16" fillId="17" borderId="15" xfId="0" applyFont="1" applyFill="1" applyBorder="1" applyAlignment="1" applyProtection="1">
      <alignment vertical="top" wrapText="1"/>
    </xf>
    <xf numFmtId="0" fontId="16" fillId="17" borderId="16" xfId="0" applyFont="1" applyFill="1" applyBorder="1" applyAlignment="1" applyProtection="1">
      <alignment vertical="top" wrapText="1"/>
    </xf>
    <xf numFmtId="0" fontId="16" fillId="17" borderId="17" xfId="0" applyFont="1" applyFill="1" applyBorder="1" applyAlignment="1" applyProtection="1">
      <alignment vertical="top" wrapText="1"/>
    </xf>
    <xf numFmtId="0" fontId="16" fillId="2" borderId="1" xfId="0" applyFont="1" applyFill="1" applyBorder="1" applyAlignment="1">
      <alignment horizontal="justify" vertical="top" wrapText="1"/>
    </xf>
    <xf numFmtId="0" fontId="16" fillId="3" borderId="10" xfId="0" applyFont="1" applyFill="1" applyBorder="1" applyProtection="1"/>
    <xf numFmtId="0" fontId="16" fillId="3" borderId="11" xfId="0" applyFont="1" applyFill="1" applyBorder="1" applyAlignment="1" applyProtection="1">
      <alignment horizontal="left" vertical="center"/>
    </xf>
    <xf numFmtId="0" fontId="21" fillId="3" borderId="14" xfId="0" applyFont="1" applyFill="1" applyBorder="1" applyAlignment="1" applyProtection="1"/>
    <xf numFmtId="0" fontId="16" fillId="3" borderId="13" xfId="0" applyFont="1" applyFill="1" applyBorder="1" applyProtection="1"/>
    <xf numFmtId="0" fontId="16" fillId="3" borderId="0" xfId="0" applyFont="1" applyFill="1" applyBorder="1" applyAlignment="1" applyProtection="1">
      <alignment horizontal="left" vertical="center"/>
    </xf>
    <xf numFmtId="0" fontId="21" fillId="3" borderId="0" xfId="0" applyFont="1" applyFill="1" applyBorder="1" applyAlignment="1" applyProtection="1">
      <alignment horizontal="center" vertical="center" wrapText="1"/>
    </xf>
    <xf numFmtId="0" fontId="16" fillId="3" borderId="13" xfId="0" applyFont="1" applyFill="1" applyBorder="1" applyAlignment="1" applyProtection="1">
      <alignment horizontal="left" vertical="center"/>
    </xf>
    <xf numFmtId="0" fontId="21" fillId="3" borderId="14" xfId="0" applyFont="1" applyFill="1" applyBorder="1" applyAlignment="1" applyProtection="1">
      <alignment horizontal="left" vertical="center" wrapText="1"/>
    </xf>
    <xf numFmtId="0" fontId="16" fillId="16" borderId="1" xfId="0" applyFont="1" applyFill="1" applyBorder="1" applyAlignment="1" applyProtection="1">
      <alignment horizontal="center" vertical="center" wrapText="1"/>
    </xf>
    <xf numFmtId="0" fontId="16" fillId="3" borderId="14" xfId="0" applyFont="1" applyFill="1" applyBorder="1" applyAlignment="1" applyProtection="1">
      <alignment horizontal="left" vertical="center"/>
    </xf>
    <xf numFmtId="0" fontId="2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5" borderId="0" xfId="0" applyFont="1" applyFill="1" applyBorder="1" applyAlignment="1" applyProtection="1">
      <alignment horizontal="right" vertical="center"/>
    </xf>
    <xf numFmtId="0" fontId="16" fillId="2" borderId="1"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0" fontId="16" fillId="3" borderId="13" xfId="0" applyFont="1" applyFill="1" applyBorder="1" applyAlignment="1" applyProtection="1">
      <alignment vertical="center"/>
    </xf>
    <xf numFmtId="0" fontId="23" fillId="3" borderId="0" xfId="0" applyFont="1" applyFill="1" applyBorder="1" applyAlignment="1" applyProtection="1">
      <alignment vertical="center" wrapText="1"/>
    </xf>
    <xf numFmtId="0" fontId="16" fillId="3" borderId="14" xfId="0" applyFont="1" applyFill="1" applyBorder="1" applyAlignment="1" applyProtection="1">
      <alignment vertical="center"/>
    </xf>
    <xf numFmtId="0" fontId="23" fillId="3" borderId="0" xfId="0" applyFont="1" applyFill="1" applyBorder="1" applyAlignment="1" applyProtection="1"/>
    <xf numFmtId="0" fontId="16" fillId="5" borderId="1" xfId="0" applyFont="1" applyFill="1" applyBorder="1" applyAlignment="1" applyProtection="1">
      <alignment horizontal="left" vertical="center"/>
    </xf>
    <xf numFmtId="0" fontId="16" fillId="3" borderId="0" xfId="0" applyFont="1" applyFill="1" applyBorder="1" applyAlignment="1" applyProtection="1">
      <alignment vertical="top" wrapText="1"/>
    </xf>
    <xf numFmtId="0" fontId="21" fillId="3" borderId="0" xfId="0" applyFont="1" applyFill="1" applyBorder="1" applyProtection="1"/>
    <xf numFmtId="0" fontId="16" fillId="2" borderId="2" xfId="0" applyFont="1" applyFill="1" applyBorder="1" applyAlignment="1" applyProtection="1">
      <alignment horizontal="left" vertical="top" wrapText="1"/>
    </xf>
    <xf numFmtId="0" fontId="16" fillId="3" borderId="15" xfId="0" applyFont="1" applyFill="1" applyBorder="1" applyProtection="1"/>
    <xf numFmtId="0" fontId="16" fillId="3" borderId="16" xfId="0" applyFont="1" applyFill="1" applyBorder="1" applyAlignment="1" applyProtection="1">
      <alignment horizontal="left" vertical="center" wrapText="1"/>
    </xf>
    <xf numFmtId="0" fontId="16" fillId="3" borderId="16" xfId="0" applyFont="1" applyFill="1" applyBorder="1" applyAlignment="1" applyProtection="1">
      <alignment vertical="top" wrapText="1"/>
    </xf>
    <xf numFmtId="0" fontId="16" fillId="3" borderId="17" xfId="0" applyFont="1" applyFill="1" applyBorder="1" applyProtection="1"/>
    <xf numFmtId="0" fontId="21" fillId="2" borderId="1"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16" fillId="17" borderId="7" xfId="0" applyFont="1" applyFill="1" applyBorder="1" applyAlignment="1" applyProtection="1">
      <alignment horizontal="left" vertical="center" wrapText="1"/>
    </xf>
    <xf numFmtId="0" fontId="16" fillId="0" borderId="0" xfId="0" applyFont="1" applyAlignment="1">
      <alignment vertical="top"/>
    </xf>
    <xf numFmtId="0" fontId="16" fillId="17" borderId="19" xfId="0" applyFont="1" applyFill="1" applyBorder="1" applyAlignment="1" applyProtection="1">
      <alignment horizontal="left" vertical="center" wrapText="1"/>
    </xf>
    <xf numFmtId="0" fontId="16" fillId="3" borderId="15" xfId="0" applyFont="1" applyFill="1" applyBorder="1" applyAlignment="1" applyProtection="1">
      <alignment vertical="center"/>
    </xf>
    <xf numFmtId="0" fontId="16" fillId="3" borderId="16" xfId="0" applyFont="1" applyFill="1" applyBorder="1" applyAlignment="1" applyProtection="1">
      <alignment vertical="center"/>
    </xf>
    <xf numFmtId="0" fontId="16" fillId="3" borderId="17" xfId="0" applyFont="1" applyFill="1" applyBorder="1" applyAlignment="1" applyProtection="1">
      <alignment vertical="center"/>
    </xf>
    <xf numFmtId="0" fontId="21" fillId="4" borderId="8" xfId="0" applyFont="1" applyFill="1" applyBorder="1" applyAlignment="1">
      <alignment horizontal="center" vertical="center" wrapText="1"/>
    </xf>
    <xf numFmtId="0" fontId="16" fillId="17" borderId="14" xfId="0" applyFont="1" applyFill="1" applyBorder="1" applyAlignment="1" applyProtection="1">
      <alignment vertical="top" wrapText="1"/>
    </xf>
    <xf numFmtId="0" fontId="16" fillId="17" borderId="13" xfId="0" applyFont="1" applyFill="1" applyBorder="1" applyAlignment="1" applyProtection="1">
      <alignment vertical="top" wrapText="1"/>
    </xf>
    <xf numFmtId="0" fontId="16" fillId="17" borderId="0" xfId="0" applyFont="1" applyFill="1" applyBorder="1" applyProtection="1"/>
    <xf numFmtId="0" fontId="16" fillId="17" borderId="0" xfId="0" applyFont="1" applyFill="1" applyBorder="1" applyAlignment="1" applyProtection="1">
      <alignment vertical="top" wrapText="1"/>
    </xf>
    <xf numFmtId="0" fontId="21" fillId="15" borderId="1" xfId="0" applyFont="1" applyFill="1" applyBorder="1" applyAlignment="1" applyProtection="1">
      <alignment vertical="top" wrapText="1"/>
    </xf>
    <xf numFmtId="0" fontId="21" fillId="15" borderId="1" xfId="0" applyFont="1" applyFill="1" applyBorder="1" applyAlignment="1" applyProtection="1">
      <alignment horizontal="center" vertical="top" wrapText="1"/>
    </xf>
    <xf numFmtId="0" fontId="16" fillId="3" borderId="14" xfId="0" applyFont="1" applyFill="1" applyBorder="1" applyAlignment="1" applyProtection="1">
      <alignment vertical="top" wrapText="1"/>
    </xf>
    <xf numFmtId="0" fontId="16" fillId="3" borderId="13" xfId="0" applyFont="1" applyFill="1" applyBorder="1" applyAlignment="1" applyProtection="1">
      <alignment vertical="top" wrapText="1"/>
    </xf>
    <xf numFmtId="0" fontId="21" fillId="3" borderId="0" xfId="0" applyFont="1" applyFill="1" applyBorder="1" applyAlignment="1" applyProtection="1">
      <alignment vertical="top" wrapText="1"/>
    </xf>
    <xf numFmtId="0" fontId="21" fillId="2" borderId="1" xfId="0" applyFont="1" applyFill="1" applyBorder="1" applyAlignment="1" applyProtection="1">
      <alignment vertical="top" wrapText="1"/>
    </xf>
    <xf numFmtId="0" fontId="21" fillId="2" borderId="1" xfId="0" applyFont="1" applyFill="1" applyBorder="1" applyAlignment="1" applyProtection="1">
      <alignment horizontal="center" vertical="top" wrapText="1"/>
    </xf>
    <xf numFmtId="0" fontId="16" fillId="3" borderId="15" xfId="0" applyFont="1" applyFill="1" applyBorder="1" applyAlignment="1" applyProtection="1">
      <alignment vertical="top" wrapText="1"/>
    </xf>
    <xf numFmtId="0" fontId="16" fillId="3" borderId="17" xfId="0" applyFont="1" applyFill="1" applyBorder="1" applyAlignment="1" applyProtection="1">
      <alignment vertical="top" wrapText="1"/>
    </xf>
    <xf numFmtId="0" fontId="16" fillId="0" borderId="0" xfId="0" applyFont="1" applyFill="1" applyBorder="1" applyAlignment="1" applyProtection="1"/>
    <xf numFmtId="0" fontId="16" fillId="0" borderId="0" xfId="0" applyFont="1" applyFill="1" applyBorder="1" applyProtection="1"/>
    <xf numFmtId="0" fontId="21" fillId="16" borderId="35" xfId="0" applyFont="1" applyFill="1" applyBorder="1" applyAlignment="1" applyProtection="1">
      <alignment horizontal="center" vertical="center" wrapText="1"/>
    </xf>
    <xf numFmtId="0" fontId="21" fillId="16" borderId="36" xfId="0" applyFont="1" applyFill="1" applyBorder="1" applyAlignment="1" applyProtection="1">
      <alignment horizontal="center" vertical="center" wrapText="1"/>
    </xf>
    <xf numFmtId="0" fontId="21" fillId="16" borderId="1" xfId="0" applyFont="1" applyFill="1" applyBorder="1" applyAlignment="1" applyProtection="1">
      <alignment horizontal="center" vertical="center" wrapText="1"/>
    </xf>
    <xf numFmtId="0" fontId="16" fillId="15" borderId="44" xfId="0" applyFont="1" applyFill="1" applyBorder="1" applyAlignment="1" applyProtection="1">
      <alignment horizontal="center" vertical="center" wrapText="1"/>
    </xf>
    <xf numFmtId="17" fontId="16" fillId="15" borderId="44" xfId="0" quotePrefix="1" applyNumberFormat="1" applyFont="1" applyFill="1" applyBorder="1" applyAlignment="1" applyProtection="1">
      <alignment horizontal="center" vertical="center" wrapText="1"/>
    </xf>
    <xf numFmtId="0" fontId="16" fillId="15" borderId="44" xfId="0" quotePrefix="1" applyFont="1" applyFill="1" applyBorder="1" applyAlignment="1" applyProtection="1">
      <alignment horizontal="center" vertical="center" wrapText="1"/>
    </xf>
    <xf numFmtId="0" fontId="16" fillId="18" borderId="44" xfId="0" applyFont="1" applyFill="1" applyBorder="1" applyAlignment="1" applyProtection="1">
      <alignment horizontal="center" vertical="center" wrapText="1"/>
    </xf>
    <xf numFmtId="0" fontId="16" fillId="0" borderId="0" xfId="0" applyFont="1" applyBorder="1"/>
    <xf numFmtId="0" fontId="40" fillId="18" borderId="0" xfId="0" applyFont="1" applyFill="1" applyBorder="1" applyAlignment="1" applyProtection="1">
      <alignment vertical="top" wrapText="1"/>
    </xf>
    <xf numFmtId="17" fontId="40" fillId="18" borderId="0" xfId="0" applyNumberFormat="1" applyFont="1" applyFill="1" applyBorder="1" applyAlignment="1" applyProtection="1">
      <alignment horizontal="center" vertical="center" wrapText="1"/>
    </xf>
    <xf numFmtId="0" fontId="10" fillId="0" borderId="0" xfId="0" applyFont="1" applyAlignment="1">
      <alignment wrapText="1"/>
    </xf>
    <xf numFmtId="0" fontId="10" fillId="17" borderId="11" xfId="0" applyFont="1" applyFill="1" applyBorder="1" applyAlignment="1">
      <alignment wrapText="1"/>
    </xf>
    <xf numFmtId="0" fontId="52" fillId="17" borderId="11" xfId="0" applyFont="1" applyFill="1" applyBorder="1"/>
    <xf numFmtId="0" fontId="10" fillId="17" borderId="0" xfId="0" applyFont="1" applyFill="1" applyBorder="1" applyAlignment="1">
      <alignment wrapText="1"/>
    </xf>
    <xf numFmtId="0" fontId="52" fillId="17" borderId="0" xfId="0" applyFont="1" applyFill="1" applyBorder="1"/>
    <xf numFmtId="0" fontId="10" fillId="0" borderId="0" xfId="0" applyFont="1" applyAlignment="1">
      <alignment vertical="center" wrapText="1"/>
    </xf>
    <xf numFmtId="164" fontId="10" fillId="0" borderId="0" xfId="0" applyNumberFormat="1" applyFont="1" applyAlignment="1">
      <alignment vertical="center"/>
    </xf>
    <xf numFmtId="17" fontId="10" fillId="0" borderId="0" xfId="0" applyNumberFormat="1" applyFont="1" applyAlignment="1">
      <alignment vertical="center"/>
    </xf>
    <xf numFmtId="0" fontId="11" fillId="19" borderId="0" xfId="0" applyFont="1" applyFill="1" applyAlignment="1">
      <alignment vertical="center" wrapText="1"/>
    </xf>
    <xf numFmtId="17" fontId="10" fillId="0" borderId="0" xfId="0" applyNumberFormat="1" applyFont="1" applyBorder="1" applyAlignment="1">
      <alignment vertical="center"/>
    </xf>
    <xf numFmtId="0" fontId="11" fillId="23" borderId="0" xfId="0" applyFont="1" applyFill="1" applyAlignment="1">
      <alignment vertical="center" wrapText="1"/>
    </xf>
    <xf numFmtId="164" fontId="11" fillId="0" borderId="0" xfId="0" applyNumberFormat="1" applyFont="1" applyAlignment="1">
      <alignment vertical="center"/>
    </xf>
    <xf numFmtId="0" fontId="10" fillId="24" borderId="15" xfId="0" applyFont="1" applyFill="1" applyBorder="1" applyAlignment="1">
      <alignment vertical="center"/>
    </xf>
    <xf numFmtId="0" fontId="10" fillId="25" borderId="16" xfId="0" applyFont="1" applyFill="1" applyBorder="1" applyAlignment="1">
      <alignment vertical="center"/>
    </xf>
    <xf numFmtId="0" fontId="10" fillId="25" borderId="16" xfId="0" applyFont="1" applyFill="1" applyBorder="1" applyAlignment="1">
      <alignment vertical="center" wrapText="1"/>
    </xf>
    <xf numFmtId="164" fontId="10" fillId="25" borderId="16" xfId="0" applyNumberFormat="1" applyFont="1" applyFill="1" applyBorder="1" applyAlignment="1">
      <alignment vertical="center"/>
    </xf>
    <xf numFmtId="17" fontId="10" fillId="25" borderId="16" xfId="0" applyNumberFormat="1" applyFont="1" applyFill="1" applyBorder="1" applyAlignment="1">
      <alignment vertical="center"/>
    </xf>
    <xf numFmtId="0" fontId="10" fillId="17" borderId="17" xfId="0" applyFont="1" applyFill="1" applyBorder="1" applyAlignment="1">
      <alignment vertical="center"/>
    </xf>
    <xf numFmtId="0" fontId="47" fillId="0" borderId="0" xfId="0" applyFont="1" applyAlignment="1">
      <alignment vertical="center" wrapText="1"/>
    </xf>
    <xf numFmtId="0" fontId="14" fillId="0" borderId="0" xfId="0" applyFont="1" applyAlignment="1">
      <alignment horizontal="right" wrapText="1"/>
    </xf>
    <xf numFmtId="0" fontId="10" fillId="2" borderId="0" xfId="0" applyFont="1" applyFill="1" applyBorder="1" applyAlignment="1">
      <alignment wrapText="1"/>
    </xf>
    <xf numFmtId="43" fontId="10" fillId="0" borderId="0" xfId="5" applyFont="1" applyAlignment="1">
      <alignment wrapText="1"/>
    </xf>
    <xf numFmtId="0" fontId="14" fillId="0" borderId="0" xfId="0" applyFont="1" applyAlignment="1">
      <alignment wrapText="1"/>
    </xf>
    <xf numFmtId="0" fontId="54" fillId="0" borderId="0" xfId="0" applyNumberFormat="1" applyFont="1" applyAlignment="1">
      <alignment horizontal="center" vertical="center" wrapText="1"/>
    </xf>
    <xf numFmtId="0" fontId="54" fillId="0" borderId="0" xfId="0" applyFont="1" applyAlignment="1">
      <alignment horizontal="center" vertical="center" wrapText="1"/>
    </xf>
    <xf numFmtId="0" fontId="57" fillId="0" borderId="0" xfId="0" applyNumberFormat="1" applyFont="1" applyFill="1" applyAlignment="1">
      <alignment horizontal="center" vertical="center" wrapText="1"/>
    </xf>
    <xf numFmtId="0" fontId="57" fillId="0" borderId="0" xfId="0" applyFont="1" applyFill="1" applyAlignment="1">
      <alignment horizontal="center" vertical="center" wrapText="1"/>
    </xf>
    <xf numFmtId="0" fontId="58" fillId="0" borderId="0" xfId="0" applyNumberFormat="1" applyFont="1" applyFill="1" applyBorder="1" applyAlignment="1">
      <alignment horizontal="left" vertical="center" wrapText="1"/>
    </xf>
    <xf numFmtId="2" fontId="54" fillId="0" borderId="0" xfId="0" applyNumberFormat="1" applyFont="1" applyAlignment="1">
      <alignment horizontal="center" vertical="center" wrapText="1"/>
    </xf>
    <xf numFmtId="0" fontId="54" fillId="0" borderId="0" xfId="0" applyNumberFormat="1" applyFont="1" applyFill="1" applyAlignment="1">
      <alignment horizontal="center" vertical="center" wrapText="1"/>
    </xf>
    <xf numFmtId="0" fontId="54" fillId="0" borderId="0" xfId="0" applyNumberFormat="1" applyFont="1" applyAlignment="1">
      <alignment horizontal="justify" vertical="top" wrapText="1"/>
    </xf>
    <xf numFmtId="0" fontId="30" fillId="11" borderId="46" xfId="0" applyFont="1" applyFill="1" applyBorder="1" applyAlignment="1" applyProtection="1">
      <alignment horizontal="left" vertical="center" wrapText="1"/>
    </xf>
    <xf numFmtId="0" fontId="33" fillId="0" borderId="46" xfId="0" applyFont="1" applyBorder="1" applyAlignment="1" applyProtection="1">
      <alignment horizontal="left" vertical="center"/>
    </xf>
    <xf numFmtId="0" fontId="30" fillId="11" borderId="46" xfId="0" applyFont="1" applyFill="1" applyBorder="1" applyAlignment="1" applyProtection="1">
      <alignment horizontal="center" wrapText="1"/>
    </xf>
    <xf numFmtId="0" fontId="27" fillId="12" borderId="46" xfId="4" applyFill="1" applyBorder="1" applyAlignment="1" applyProtection="1">
      <alignment vertical="center"/>
      <protection locked="0"/>
    </xf>
    <xf numFmtId="0" fontId="16" fillId="0" borderId="26" xfId="8" applyFont="1" applyFill="1" applyBorder="1" applyAlignment="1" applyProtection="1">
      <alignment horizontal="justify" vertical="top" wrapText="1"/>
    </xf>
    <xf numFmtId="0" fontId="16" fillId="0" borderId="26" xfId="0" applyFont="1" applyFill="1" applyBorder="1" applyAlignment="1" applyProtection="1">
      <alignment horizontal="justify" vertical="top" wrapText="1"/>
    </xf>
    <xf numFmtId="0" fontId="16" fillId="0" borderId="1" xfId="0" applyFont="1" applyFill="1" applyBorder="1" applyAlignment="1" applyProtection="1">
      <alignment horizontal="justify" vertical="top" wrapText="1"/>
    </xf>
    <xf numFmtId="0" fontId="16" fillId="0" borderId="7" xfId="0" applyFont="1" applyFill="1" applyBorder="1" applyAlignment="1" applyProtection="1">
      <alignment horizontal="justify" vertical="top" wrapText="1"/>
    </xf>
    <xf numFmtId="0" fontId="35" fillId="8" borderId="51" xfId="4" applyFont="1" applyBorder="1" applyAlignment="1" applyProtection="1">
      <alignment vertical="center" wrapText="1"/>
      <protection locked="0"/>
    </xf>
    <xf numFmtId="0" fontId="35" fillId="12" borderId="51" xfId="4" applyFont="1" applyFill="1" applyBorder="1" applyAlignment="1" applyProtection="1">
      <alignment vertical="center" wrapText="1"/>
      <protection locked="0"/>
    </xf>
    <xf numFmtId="0" fontId="35" fillId="8" borderId="53" xfId="4" applyFont="1" applyBorder="1" applyAlignment="1" applyProtection="1">
      <alignment vertical="center"/>
      <protection locked="0"/>
    </xf>
    <xf numFmtId="0" fontId="35" fillId="12" borderId="53" xfId="4" applyFont="1" applyFill="1" applyBorder="1" applyAlignment="1" applyProtection="1">
      <alignment vertical="center"/>
      <protection locked="0"/>
    </xf>
    <xf numFmtId="0" fontId="30" fillId="11" borderId="52" xfId="0" applyFont="1" applyFill="1" applyBorder="1" applyAlignment="1" applyProtection="1">
      <alignment horizontal="center" vertical="center" wrapText="1"/>
    </xf>
    <xf numFmtId="0" fontId="35" fillId="8" borderId="54" xfId="4" applyFont="1" applyBorder="1" applyAlignment="1" applyProtection="1">
      <alignment horizontal="center" vertical="center"/>
      <protection locked="0"/>
    </xf>
    <xf numFmtId="0" fontId="35" fillId="12" borderId="54" xfId="4" applyFont="1" applyFill="1" applyBorder="1" applyAlignment="1" applyProtection="1">
      <alignment horizontal="center" vertical="center"/>
      <protection locked="0"/>
    </xf>
    <xf numFmtId="0" fontId="27" fillId="8" borderId="51" xfId="4" applyBorder="1" applyAlignment="1" applyProtection="1">
      <alignment vertical="center" wrapText="1"/>
      <protection locked="0"/>
    </xf>
    <xf numFmtId="0" fontId="27" fillId="12" borderId="51" xfId="4" applyFill="1" applyBorder="1" applyAlignment="1" applyProtection="1">
      <alignment vertical="center" wrapText="1"/>
      <protection locked="0"/>
    </xf>
    <xf numFmtId="10" fontId="27" fillId="12" borderId="52" xfId="4" applyNumberFormat="1" applyFill="1" applyBorder="1" applyAlignment="1" applyProtection="1">
      <alignment horizontal="center" vertical="center"/>
      <protection locked="0"/>
    </xf>
    <xf numFmtId="0" fontId="16" fillId="15" borderId="19" xfId="0" applyFont="1" applyFill="1" applyBorder="1" applyAlignment="1" applyProtection="1">
      <alignment horizontal="justify" vertical="center" wrapText="1"/>
    </xf>
    <xf numFmtId="0" fontId="16" fillId="0" borderId="1" xfId="0" applyFont="1" applyBorder="1" applyAlignment="1">
      <alignment horizontal="justify" vertical="center"/>
    </xf>
    <xf numFmtId="0" fontId="16" fillId="15" borderId="26" xfId="0" applyFont="1" applyFill="1" applyBorder="1" applyAlignment="1" applyProtection="1">
      <alignment horizontal="justify" vertical="center" wrapText="1"/>
    </xf>
    <xf numFmtId="0" fontId="21" fillId="0" borderId="0" xfId="0" applyFont="1" applyAlignment="1">
      <alignment horizontal="center"/>
    </xf>
    <xf numFmtId="0" fontId="62" fillId="0" borderId="0" xfId="0" applyFont="1" applyAlignment="1">
      <alignment horizontal="center" vertical="center" wrapText="1"/>
    </xf>
    <xf numFmtId="0" fontId="62" fillId="26" borderId="0" xfId="0" applyFont="1" applyFill="1" applyAlignment="1">
      <alignment horizontal="center" vertical="center" wrapText="1"/>
    </xf>
    <xf numFmtId="0" fontId="62" fillId="0" borderId="0" xfId="0" applyFont="1" applyAlignment="1">
      <alignment horizontal="center" vertical="center"/>
    </xf>
    <xf numFmtId="43" fontId="16" fillId="0" borderId="0" xfId="0" applyNumberFormat="1" applyFont="1" applyAlignment="1">
      <alignment vertical="center"/>
    </xf>
    <xf numFmtId="9" fontId="16" fillId="0" borderId="0" xfId="6" applyFont="1" applyAlignment="1">
      <alignment vertical="center"/>
    </xf>
    <xf numFmtId="43" fontId="16" fillId="26" borderId="0" xfId="0" applyNumberFormat="1" applyFont="1" applyFill="1" applyAlignment="1">
      <alignment vertical="center"/>
    </xf>
    <xf numFmtId="43" fontId="63" fillId="26" borderId="0" xfId="0" applyNumberFormat="1" applyFont="1" applyFill="1" applyAlignment="1">
      <alignment vertical="center"/>
    </xf>
    <xf numFmtId="43" fontId="16" fillId="0" borderId="0" xfId="0" applyNumberFormat="1" applyFont="1" applyAlignment="1">
      <alignment vertical="center" wrapText="1"/>
    </xf>
    <xf numFmtId="0" fontId="0" fillId="17" borderId="10" xfId="0" applyFill="1" applyBorder="1"/>
    <xf numFmtId="0" fontId="0" fillId="17" borderId="11" xfId="0" applyFill="1" applyBorder="1"/>
    <xf numFmtId="0" fontId="0" fillId="17" borderId="12" xfId="0" applyFill="1" applyBorder="1"/>
    <xf numFmtId="0" fontId="0" fillId="17" borderId="13" xfId="0" applyFill="1" applyBorder="1"/>
    <xf numFmtId="0" fontId="66" fillId="17" borderId="14" xfId="0" applyFont="1" applyFill="1" applyBorder="1" applyAlignment="1" applyProtection="1">
      <alignment vertical="top" wrapText="1"/>
    </xf>
    <xf numFmtId="0" fontId="66" fillId="17" borderId="13" xfId="0" applyFont="1" applyFill="1" applyBorder="1" applyAlignment="1" applyProtection="1">
      <alignment vertical="top" wrapText="1"/>
    </xf>
    <xf numFmtId="0" fontId="68" fillId="15" borderId="1" xfId="0" applyFont="1" applyFill="1" applyBorder="1" applyAlignment="1" applyProtection="1">
      <alignment horizontal="center" vertical="top" wrapText="1"/>
    </xf>
    <xf numFmtId="0" fontId="66" fillId="17" borderId="0" xfId="0" applyFont="1" applyFill="1" applyBorder="1" applyAlignment="1" applyProtection="1">
      <alignment vertical="top" wrapText="1"/>
    </xf>
    <xf numFmtId="0" fontId="0" fillId="17" borderId="15" xfId="0" applyFont="1" applyFill="1" applyBorder="1" applyAlignment="1" applyProtection="1">
      <alignment vertical="top" wrapText="1"/>
    </xf>
    <xf numFmtId="0" fontId="0" fillId="17" borderId="16" xfId="0" applyFont="1" applyFill="1" applyBorder="1" applyAlignment="1" applyProtection="1">
      <alignment vertical="top" wrapText="1"/>
    </xf>
    <xf numFmtId="0" fontId="0" fillId="17" borderId="17" xfId="0" applyFont="1" applyFill="1" applyBorder="1" applyAlignment="1" applyProtection="1">
      <alignment vertical="top" wrapText="1"/>
    </xf>
    <xf numFmtId="49" fontId="10" fillId="3" borderId="14" xfId="0" applyNumberFormat="1" applyFont="1" applyFill="1" applyBorder="1" applyAlignment="1">
      <alignment horizontal="left" vertical="top" wrapText="1"/>
    </xf>
    <xf numFmtId="0" fontId="16" fillId="3" borderId="14" xfId="0" applyFont="1" applyFill="1" applyBorder="1"/>
    <xf numFmtId="0" fontId="16" fillId="3" borderId="0" xfId="0" applyFont="1" applyFill="1" applyBorder="1"/>
    <xf numFmtId="0" fontId="23" fillId="3" borderId="0" xfId="0" applyFont="1" applyFill="1" applyBorder="1"/>
    <xf numFmtId="0" fontId="21" fillId="0" borderId="1" xfId="0" applyFont="1" applyFill="1" applyBorder="1" applyAlignment="1">
      <alignment horizontal="center" vertical="top" wrapText="1"/>
    </xf>
    <xf numFmtId="0" fontId="21" fillId="0" borderId="20" xfId="0" applyFont="1" applyFill="1" applyBorder="1" applyAlignment="1">
      <alignment horizontal="center" vertical="top" wrapText="1"/>
    </xf>
    <xf numFmtId="0" fontId="16" fillId="0" borderId="19" xfId="0" applyFont="1" applyFill="1" applyBorder="1" applyAlignment="1">
      <alignment vertical="center" wrapText="1"/>
    </xf>
    <xf numFmtId="0" fontId="16" fillId="0" borderId="17" xfId="0" applyFont="1" applyFill="1" applyBorder="1" applyAlignment="1">
      <alignment vertical="top" wrapText="1"/>
    </xf>
    <xf numFmtId="0" fontId="16" fillId="0" borderId="18" xfId="0" applyFont="1" applyFill="1" applyBorder="1" applyAlignment="1">
      <alignment vertical="top" wrapText="1"/>
    </xf>
    <xf numFmtId="0" fontId="16" fillId="0" borderId="14" xfId="0" applyFont="1" applyFill="1" applyBorder="1" applyAlignment="1">
      <alignment vertical="top" wrapText="1"/>
    </xf>
    <xf numFmtId="0" fontId="16" fillId="0" borderId="1" xfId="0" applyFont="1" applyFill="1" applyBorder="1" applyAlignment="1">
      <alignment vertical="top" wrapText="1"/>
    </xf>
    <xf numFmtId="0" fontId="16" fillId="0" borderId="20" xfId="0" applyFont="1" applyFill="1" applyBorder="1" applyAlignment="1">
      <alignment vertical="top" wrapText="1"/>
    </xf>
    <xf numFmtId="0" fontId="16" fillId="0" borderId="19" xfId="0" applyFont="1" applyFill="1" applyBorder="1" applyAlignment="1">
      <alignment vertical="top" wrapText="1"/>
    </xf>
    <xf numFmtId="0" fontId="21" fillId="0" borderId="1" xfId="0" applyFont="1" applyFill="1" applyBorder="1" applyAlignment="1">
      <alignment horizontal="center" vertical="top"/>
    </xf>
    <xf numFmtId="49" fontId="16" fillId="0" borderId="1" xfId="0" applyNumberFormat="1" applyFont="1" applyFill="1" applyBorder="1" applyAlignment="1">
      <alignment vertical="top" wrapText="1"/>
    </xf>
    <xf numFmtId="0" fontId="16" fillId="0" borderId="1" xfId="0" applyFont="1" applyFill="1" applyBorder="1" applyAlignment="1">
      <alignment wrapText="1"/>
    </xf>
    <xf numFmtId="49" fontId="16" fillId="0" borderId="1" xfId="0" quotePrefix="1" applyNumberFormat="1" applyFont="1" applyFill="1" applyBorder="1" applyAlignment="1">
      <alignment vertical="top" wrapText="1"/>
    </xf>
    <xf numFmtId="0" fontId="16" fillId="3" borderId="15" xfId="0" applyFont="1" applyFill="1" applyBorder="1"/>
    <xf numFmtId="0" fontId="16" fillId="3" borderId="16" xfId="0" applyFont="1" applyFill="1" applyBorder="1"/>
    <xf numFmtId="0" fontId="16" fillId="3" borderId="17" xfId="0" applyFont="1" applyFill="1" applyBorder="1"/>
    <xf numFmtId="0" fontId="32" fillId="8" borderId="46" xfId="4" applyFont="1" applyBorder="1" applyAlignment="1" applyProtection="1">
      <alignment horizontal="center" vertical="center"/>
      <protection locked="0"/>
    </xf>
    <xf numFmtId="0" fontId="32" fillId="12" borderId="46" xfId="4" applyFont="1" applyFill="1" applyBorder="1" applyAlignment="1" applyProtection="1">
      <alignment horizontal="center" vertical="center"/>
      <protection locked="0"/>
    </xf>
    <xf numFmtId="10" fontId="32" fillId="12" borderId="52" xfId="4" applyNumberFormat="1" applyFont="1" applyFill="1" applyBorder="1" applyAlignment="1" applyProtection="1">
      <alignment horizontal="center" vertical="center"/>
      <protection locked="0"/>
    </xf>
    <xf numFmtId="0" fontId="32" fillId="12" borderId="50" xfId="4" applyFont="1" applyFill="1" applyBorder="1" applyAlignment="1" applyProtection="1">
      <alignment horizontal="center"/>
      <protection locked="0"/>
    </xf>
    <xf numFmtId="0" fontId="70" fillId="12" borderId="54" xfId="4" applyFont="1" applyFill="1" applyBorder="1" applyAlignment="1" applyProtection="1">
      <alignment horizontal="center" vertical="center"/>
      <protection locked="0"/>
    </xf>
    <xf numFmtId="0" fontId="32" fillId="8" borderId="50" xfId="4" applyFont="1" applyBorder="1" applyAlignment="1" applyProtection="1">
      <alignment horizontal="center"/>
      <protection locked="0"/>
    </xf>
    <xf numFmtId="10" fontId="32" fillId="8" borderId="52" xfId="4" applyNumberFormat="1" applyFont="1" applyBorder="1" applyAlignment="1" applyProtection="1">
      <alignment horizontal="center" vertical="center"/>
      <protection locked="0"/>
    </xf>
    <xf numFmtId="0" fontId="10" fillId="2" borderId="31" xfId="0" applyFont="1" applyFill="1" applyBorder="1" applyAlignment="1" applyProtection="1">
      <alignment horizontal="left" vertical="center" wrapText="1"/>
    </xf>
    <xf numFmtId="0" fontId="10" fillId="2" borderId="57" xfId="0" applyFont="1" applyFill="1" applyBorder="1" applyAlignment="1" applyProtection="1">
      <alignment vertical="top" wrapText="1"/>
    </xf>
    <xf numFmtId="4" fontId="72" fillId="0" borderId="0" xfId="0" applyNumberFormat="1" applyFont="1"/>
    <xf numFmtId="0" fontId="11" fillId="2" borderId="26" xfId="0" applyFont="1" applyFill="1" applyBorder="1" applyAlignment="1" applyProtection="1">
      <alignment vertical="top" wrapText="1"/>
    </xf>
    <xf numFmtId="0" fontId="11" fillId="2" borderId="1"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0" fillId="2" borderId="1" xfId="0" applyFont="1" applyFill="1" applyBorder="1" applyAlignment="1" applyProtection="1">
      <alignment vertical="center" wrapText="1"/>
    </xf>
    <xf numFmtId="0" fontId="10" fillId="2" borderId="33" xfId="0" applyFont="1" applyFill="1" applyBorder="1" applyAlignment="1" applyProtection="1">
      <alignment vertical="center" wrapText="1"/>
    </xf>
    <xf numFmtId="0" fontId="10" fillId="2" borderId="34" xfId="0" applyFont="1" applyFill="1" applyBorder="1" applyAlignment="1" applyProtection="1">
      <alignment vertical="center" wrapText="1"/>
    </xf>
    <xf numFmtId="0" fontId="10" fillId="2" borderId="9" xfId="0" applyFont="1" applyFill="1" applyBorder="1" applyAlignment="1" applyProtection="1">
      <alignment vertical="center" wrapText="1"/>
    </xf>
    <xf numFmtId="43" fontId="10" fillId="2" borderId="30" xfId="5" applyFont="1" applyFill="1" applyBorder="1" applyAlignment="1" applyProtection="1">
      <alignment vertical="center" wrapText="1"/>
    </xf>
    <xf numFmtId="43" fontId="10" fillId="2" borderId="30" xfId="5" applyFont="1" applyFill="1" applyBorder="1" applyAlignment="1" applyProtection="1">
      <alignment horizontal="center" vertical="center" wrapText="1"/>
    </xf>
    <xf numFmtId="0" fontId="10" fillId="2" borderId="32" xfId="0" applyFont="1" applyFill="1" applyBorder="1" applyAlignment="1" applyProtection="1">
      <alignment horizontal="left" vertical="center" wrapText="1"/>
    </xf>
    <xf numFmtId="43" fontId="10" fillId="2" borderId="6" xfId="5" applyFont="1" applyFill="1" applyBorder="1" applyAlignment="1" applyProtection="1">
      <alignment vertical="center" wrapText="1"/>
    </xf>
    <xf numFmtId="0" fontId="10" fillId="2" borderId="60" xfId="0" applyFont="1" applyFill="1" applyBorder="1" applyAlignment="1" applyProtection="1">
      <alignment horizontal="left" vertical="center" wrapText="1"/>
    </xf>
    <xf numFmtId="43" fontId="10" fillId="2" borderId="38" xfId="5" applyFont="1" applyFill="1" applyBorder="1" applyAlignment="1" applyProtection="1">
      <alignment vertical="center" wrapText="1"/>
    </xf>
    <xf numFmtId="0" fontId="10" fillId="2" borderId="46" xfId="0" applyFont="1" applyFill="1" applyBorder="1" applyAlignment="1" applyProtection="1">
      <alignment horizontal="left" vertical="center" wrapText="1"/>
    </xf>
    <xf numFmtId="43" fontId="10" fillId="2" borderId="41" xfId="5" applyFont="1" applyFill="1" applyBorder="1" applyAlignment="1" applyProtection="1">
      <alignment vertical="center" wrapText="1"/>
    </xf>
    <xf numFmtId="0" fontId="10" fillId="2" borderId="38"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0" fillId="2" borderId="33" xfId="0" applyFont="1" applyFill="1" applyBorder="1" applyAlignment="1" applyProtection="1">
      <alignment horizontal="left" vertical="center" wrapText="1"/>
    </xf>
    <xf numFmtId="4" fontId="10" fillId="2" borderId="34" xfId="0" applyNumberFormat="1" applyFont="1" applyFill="1" applyBorder="1" applyAlignment="1" applyProtection="1">
      <alignment horizontal="right" vertical="center" wrapText="1"/>
    </xf>
    <xf numFmtId="43" fontId="10" fillId="2" borderId="33" xfId="5" applyFont="1" applyFill="1" applyBorder="1" applyAlignment="1" applyProtection="1">
      <alignment horizontal="center" vertical="center" wrapText="1"/>
    </xf>
    <xf numFmtId="0" fontId="10" fillId="2" borderId="9" xfId="0" applyFont="1" applyFill="1" applyBorder="1" applyAlignment="1" applyProtection="1">
      <alignment horizontal="left" vertical="center" wrapText="1"/>
    </xf>
    <xf numFmtId="43" fontId="10" fillId="2" borderId="41" xfId="5" applyFont="1" applyFill="1" applyBorder="1" applyAlignment="1" applyProtection="1">
      <alignment horizontal="left" vertical="center" wrapText="1"/>
    </xf>
    <xf numFmtId="0" fontId="10" fillId="2" borderId="32" xfId="0" applyFont="1" applyFill="1" applyBorder="1" applyAlignment="1" applyProtection="1">
      <alignment horizontal="left" vertical="top" wrapText="1"/>
    </xf>
    <xf numFmtId="164" fontId="10" fillId="2" borderId="5" xfId="11" applyFont="1" applyFill="1" applyBorder="1" applyAlignment="1" applyProtection="1">
      <alignment vertical="top" wrapText="1"/>
    </xf>
    <xf numFmtId="0" fontId="16" fillId="2" borderId="32" xfId="0" applyFont="1" applyFill="1" applyBorder="1" applyAlignment="1" applyProtection="1">
      <alignment horizontal="left" vertical="center" wrapText="1"/>
    </xf>
    <xf numFmtId="164" fontId="10" fillId="2" borderId="40" xfId="11" applyFont="1" applyFill="1" applyBorder="1" applyAlignment="1" applyProtection="1">
      <alignment vertical="top" wrapText="1"/>
    </xf>
    <xf numFmtId="0" fontId="16" fillId="2" borderId="60" xfId="0" applyFont="1" applyFill="1" applyBorder="1" applyAlignment="1" applyProtection="1">
      <alignment horizontal="left" vertical="center" wrapText="1"/>
    </xf>
    <xf numFmtId="164" fontId="10" fillId="2" borderId="65" xfId="11" applyFont="1" applyFill="1" applyBorder="1" applyAlignment="1" applyProtection="1">
      <alignment vertical="top" wrapText="1"/>
    </xf>
    <xf numFmtId="0" fontId="10" fillId="2" borderId="4" xfId="0" applyFont="1" applyFill="1" applyBorder="1" applyAlignment="1" applyProtection="1">
      <alignment horizontal="left" vertical="top" wrapText="1"/>
    </xf>
    <xf numFmtId="0" fontId="10" fillId="2" borderId="39" xfId="0" applyFont="1" applyFill="1" applyBorder="1" applyAlignment="1" applyProtection="1">
      <alignment vertical="top" wrapText="1"/>
    </xf>
    <xf numFmtId="164" fontId="16" fillId="2" borderId="2" xfId="11" applyFont="1" applyFill="1" applyBorder="1" applyAlignment="1" applyProtection="1">
      <alignment horizontal="center" vertical="center" wrapText="1"/>
    </xf>
    <xf numFmtId="0" fontId="16" fillId="2" borderId="51" xfId="0" applyFont="1" applyFill="1" applyBorder="1" applyAlignment="1" applyProtection="1">
      <alignment horizontal="left" vertical="center" wrapText="1"/>
    </xf>
    <xf numFmtId="164" fontId="16" fillId="2" borderId="67" xfId="11" applyFont="1" applyFill="1" applyBorder="1" applyAlignment="1" applyProtection="1">
      <alignment horizontal="center" vertical="center" wrapText="1"/>
    </xf>
    <xf numFmtId="0" fontId="16" fillId="2" borderId="36" xfId="0" applyFont="1" applyFill="1" applyBorder="1" applyAlignment="1" applyProtection="1">
      <alignment horizontal="left" vertical="center" wrapText="1"/>
    </xf>
    <xf numFmtId="164" fontId="16" fillId="2" borderId="68" xfId="11" applyFont="1" applyFill="1" applyBorder="1" applyAlignment="1" applyProtection="1">
      <alignment horizontal="center" vertical="center" wrapText="1"/>
    </xf>
    <xf numFmtId="0" fontId="10" fillId="2" borderId="1" xfId="0" applyFont="1" applyFill="1" applyBorder="1" applyAlignment="1" applyProtection="1">
      <alignment horizontal="left" vertical="top" wrapText="1"/>
    </xf>
    <xf numFmtId="0" fontId="10" fillId="2" borderId="23" xfId="0" applyFont="1" applyFill="1" applyBorder="1" applyAlignment="1" applyProtection="1">
      <alignment horizontal="left" vertical="center" wrapText="1"/>
    </xf>
    <xf numFmtId="164" fontId="10" fillId="2" borderId="12" xfId="11"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164" fontId="16" fillId="2" borderId="5" xfId="11" applyFont="1" applyFill="1" applyBorder="1" applyAlignment="1" applyProtection="1">
      <alignment horizontal="right" vertical="center" wrapText="1"/>
    </xf>
    <xf numFmtId="0" fontId="16" fillId="2" borderId="42" xfId="0" applyFont="1" applyFill="1" applyBorder="1" applyAlignment="1" applyProtection="1">
      <alignment horizontal="left" vertical="center" wrapText="1"/>
    </xf>
    <xf numFmtId="164" fontId="16" fillId="2" borderId="43" xfId="11" applyFont="1" applyFill="1" applyBorder="1" applyAlignment="1" applyProtection="1">
      <alignment horizontal="right" vertical="center" wrapText="1"/>
    </xf>
    <xf numFmtId="0" fontId="16" fillId="2" borderId="57" xfId="0" applyFont="1" applyFill="1" applyBorder="1" applyAlignment="1" applyProtection="1">
      <alignment horizontal="left" vertical="center" wrapText="1"/>
    </xf>
    <xf numFmtId="164" fontId="16" fillId="2" borderId="65" xfId="11" applyFont="1" applyFill="1" applyBorder="1" applyAlignment="1" applyProtection="1">
      <alignment horizontal="right" vertical="center" wrapText="1"/>
    </xf>
    <xf numFmtId="164" fontId="16" fillId="2" borderId="25" xfId="11" applyFont="1" applyFill="1" applyBorder="1" applyAlignment="1" applyProtection="1">
      <alignment horizontal="center" vertical="center" wrapText="1"/>
    </xf>
    <xf numFmtId="0" fontId="16" fillId="2" borderId="46" xfId="0" applyFont="1" applyFill="1" applyBorder="1" applyAlignment="1" applyProtection="1">
      <alignment horizontal="left" vertical="center" wrapText="1"/>
    </xf>
    <xf numFmtId="164" fontId="16" fillId="2" borderId="45" xfId="11" applyFont="1" applyFill="1" applyBorder="1" applyAlignment="1" applyProtection="1">
      <alignment horizontal="center" vertical="center" wrapText="1"/>
    </xf>
    <xf numFmtId="164" fontId="16" fillId="0" borderId="25" xfId="11" applyFont="1" applyBorder="1"/>
    <xf numFmtId="0" fontId="16" fillId="0" borderId="46" xfId="0" applyFont="1" applyBorder="1" applyAlignment="1">
      <alignment horizontal="left" wrapText="1"/>
    </xf>
    <xf numFmtId="164" fontId="16" fillId="0" borderId="45" xfId="11" applyFont="1" applyBorder="1"/>
    <xf numFmtId="164" fontId="16" fillId="0" borderId="45" xfId="11" applyFont="1" applyBorder="1" applyAlignment="1">
      <alignment horizontal="center"/>
    </xf>
    <xf numFmtId="164" fontId="16" fillId="0" borderId="50" xfId="11" applyFont="1" applyBorder="1"/>
    <xf numFmtId="0" fontId="10" fillId="2" borderId="1" xfId="0" applyFont="1" applyFill="1" applyBorder="1" applyAlignment="1" applyProtection="1">
      <alignment horizontal="left" wrapText="1"/>
    </xf>
    <xf numFmtId="0" fontId="10" fillId="2" borderId="33" xfId="0" applyFont="1" applyFill="1" applyBorder="1" applyAlignment="1" applyProtection="1">
      <alignment horizontal="center" vertical="center" wrapText="1"/>
    </xf>
    <xf numFmtId="164" fontId="10" fillId="2" borderId="34" xfId="11" applyFont="1" applyFill="1" applyBorder="1" applyAlignment="1" applyProtection="1">
      <alignment vertical="center" wrapText="1"/>
    </xf>
    <xf numFmtId="0" fontId="10" fillId="2" borderId="9" xfId="0" applyFont="1" applyFill="1" applyBorder="1" applyAlignment="1" applyProtection="1">
      <alignment vertical="top" wrapText="1"/>
    </xf>
    <xf numFmtId="0" fontId="10" fillId="2" borderId="28" xfId="0" applyFont="1" applyFill="1" applyBorder="1" applyAlignment="1" applyProtection="1">
      <alignment horizontal="center" vertical="center" wrapText="1"/>
    </xf>
    <xf numFmtId="164" fontId="10" fillId="2" borderId="2" xfId="0" applyNumberFormat="1" applyFont="1" applyFill="1" applyBorder="1" applyAlignment="1" applyProtection="1">
      <alignment vertical="top" wrapText="1"/>
    </xf>
    <xf numFmtId="0" fontId="10" fillId="2" borderId="51" xfId="0" applyFont="1" applyFill="1" applyBorder="1" applyAlignment="1" applyProtection="1">
      <alignment horizontal="center" vertical="center" wrapText="1"/>
    </xf>
    <xf numFmtId="0" fontId="16" fillId="0" borderId="36" xfId="0" applyFont="1" applyBorder="1" applyAlignment="1">
      <alignment horizontal="center" vertical="center" wrapText="1"/>
    </xf>
    <xf numFmtId="164" fontId="16" fillId="0" borderId="68" xfId="0" applyNumberFormat="1" applyFont="1" applyBorder="1"/>
    <xf numFmtId="164" fontId="10" fillId="2" borderId="6" xfId="11" applyFont="1" applyFill="1" applyBorder="1" applyAlignment="1" applyProtection="1">
      <alignment vertical="top" wrapText="1"/>
    </xf>
    <xf numFmtId="164" fontId="10" fillId="2" borderId="41" xfId="11" applyFont="1" applyFill="1" applyBorder="1" applyAlignment="1" applyProtection="1">
      <alignment vertical="top" wrapText="1"/>
    </xf>
    <xf numFmtId="164" fontId="10" fillId="2" borderId="38" xfId="11" applyFont="1" applyFill="1" applyBorder="1" applyAlignment="1" applyProtection="1">
      <alignment vertical="top" wrapText="1"/>
    </xf>
    <xf numFmtId="0" fontId="66" fillId="15" borderId="19" xfId="0" applyFont="1" applyFill="1" applyBorder="1" applyAlignment="1" applyProtection="1">
      <alignment horizontal="left" vertical="center" wrapText="1"/>
    </xf>
    <xf numFmtId="0" fontId="66" fillId="15" borderId="63" xfId="0" applyFont="1" applyFill="1" applyBorder="1" applyAlignment="1" applyProtection="1">
      <alignment horizontal="left" vertical="center" wrapText="1"/>
    </xf>
    <xf numFmtId="43" fontId="66" fillId="15" borderId="61" xfId="5" applyFont="1" applyFill="1" applyBorder="1" applyAlignment="1" applyProtection="1">
      <alignment horizontal="left" vertical="center" wrapText="1"/>
    </xf>
    <xf numFmtId="0" fontId="10" fillId="0" borderId="62" xfId="0" applyFont="1" applyFill="1" applyBorder="1" applyAlignment="1" applyProtection="1">
      <alignment horizontal="center" vertical="center" wrapText="1"/>
    </xf>
    <xf numFmtId="0" fontId="16" fillId="0" borderId="0" xfId="0" applyFont="1" applyAlignment="1">
      <alignment horizontal="center" wrapText="1"/>
    </xf>
    <xf numFmtId="0" fontId="71" fillId="15" borderId="64" xfId="0" applyFont="1" applyFill="1" applyBorder="1" applyAlignment="1" applyProtection="1">
      <alignment horizontal="left" vertical="center" wrapText="1"/>
    </xf>
    <xf numFmtId="43" fontId="71" fillId="15" borderId="59" xfId="5" applyFont="1" applyFill="1" applyBorder="1" applyAlignment="1" applyProtection="1">
      <alignment horizontal="left" vertical="center" wrapText="1"/>
    </xf>
    <xf numFmtId="43" fontId="71" fillId="15" borderId="52" xfId="5" applyFont="1" applyFill="1" applyBorder="1" applyAlignment="1" applyProtection="1">
      <alignment horizontal="left" vertical="center" wrapText="1"/>
    </xf>
    <xf numFmtId="0" fontId="71" fillId="15" borderId="60" xfId="0" applyFont="1" applyFill="1" applyBorder="1" applyAlignment="1" applyProtection="1">
      <alignment horizontal="left" vertical="center" wrapText="1"/>
    </xf>
    <xf numFmtId="43" fontId="71" fillId="15" borderId="38" xfId="5" applyFont="1" applyFill="1" applyBorder="1" applyAlignment="1" applyProtection="1">
      <alignment horizontal="left" vertical="center" wrapText="1"/>
    </xf>
    <xf numFmtId="0" fontId="73" fillId="0" borderId="60" xfId="0" applyFont="1" applyBorder="1" applyAlignment="1">
      <alignment vertical="center" wrapText="1"/>
    </xf>
    <xf numFmtId="0" fontId="71" fillId="15" borderId="1" xfId="0" applyFont="1" applyFill="1" applyBorder="1" applyAlignment="1" applyProtection="1">
      <alignment horizontal="left" vertical="center" wrapText="1"/>
    </xf>
    <xf numFmtId="0" fontId="73" fillId="0" borderId="31" xfId="0" applyFont="1" applyBorder="1" applyAlignment="1">
      <alignment vertical="top" wrapText="1"/>
    </xf>
    <xf numFmtId="43" fontId="71" fillId="15" borderId="30" xfId="5" applyFont="1" applyFill="1" applyBorder="1" applyAlignment="1" applyProtection="1">
      <alignment horizontal="left" vertical="center" wrapText="1"/>
    </xf>
    <xf numFmtId="0" fontId="73" fillId="0" borderId="32" xfId="0" applyFont="1" applyBorder="1" applyAlignment="1">
      <alignment vertical="center" wrapText="1"/>
    </xf>
    <xf numFmtId="43" fontId="71" fillId="0" borderId="32" xfId="5" applyFont="1" applyFill="1" applyBorder="1" applyAlignment="1" applyProtection="1">
      <alignment horizontal="left" vertical="center" wrapText="1"/>
    </xf>
    <xf numFmtId="0" fontId="71" fillId="15" borderId="60" xfId="0" applyFont="1" applyFill="1" applyBorder="1" applyAlignment="1" applyProtection="1">
      <alignment horizontal="left" vertical="top" wrapText="1"/>
    </xf>
    <xf numFmtId="0" fontId="73" fillId="0" borderId="60" xfId="0" applyFont="1" applyBorder="1" applyAlignment="1">
      <alignment vertical="top" wrapText="1"/>
    </xf>
    <xf numFmtId="43" fontId="71" fillId="15" borderId="52" xfId="5" applyFont="1" applyFill="1" applyBorder="1" applyAlignment="1" applyProtection="1">
      <alignment vertical="center" wrapText="1"/>
    </xf>
    <xf numFmtId="0" fontId="73" fillId="0" borderId="46" xfId="0" applyFont="1" applyBorder="1" applyAlignment="1">
      <alignment vertical="center" wrapText="1"/>
    </xf>
    <xf numFmtId="43" fontId="71" fillId="15" borderId="30" xfId="5" applyFont="1" applyFill="1" applyBorder="1" applyAlignment="1" applyProtection="1">
      <alignment vertical="center" wrapText="1"/>
    </xf>
    <xf numFmtId="43" fontId="71" fillId="15" borderId="61" xfId="5" applyFont="1" applyFill="1" applyBorder="1" applyAlignment="1" applyProtection="1">
      <alignment vertical="center" wrapText="1"/>
    </xf>
    <xf numFmtId="0" fontId="73" fillId="2" borderId="32" xfId="0" applyFont="1" applyFill="1" applyBorder="1" applyAlignment="1">
      <alignment vertical="top" wrapText="1"/>
    </xf>
    <xf numFmtId="43" fontId="71" fillId="18" borderId="59" xfId="5" applyFont="1" applyFill="1" applyBorder="1" applyAlignment="1" applyProtection="1">
      <alignment horizontal="left" vertical="center" wrapText="1"/>
    </xf>
    <xf numFmtId="43" fontId="71" fillId="18" borderId="52" xfId="5" applyFont="1" applyFill="1" applyBorder="1" applyAlignment="1" applyProtection="1">
      <alignment horizontal="left" vertical="center" wrapText="1"/>
    </xf>
    <xf numFmtId="0" fontId="71" fillId="18" borderId="60" xfId="0" applyFont="1" applyFill="1" applyBorder="1" applyAlignment="1" applyProtection="1">
      <alignment horizontal="left" vertical="center" wrapText="1"/>
    </xf>
    <xf numFmtId="43" fontId="71" fillId="18" borderId="38" xfId="5" applyFont="1" applyFill="1" applyBorder="1" applyAlignment="1" applyProtection="1">
      <alignment horizontal="left" vertical="center" wrapText="1"/>
    </xf>
    <xf numFmtId="0" fontId="71" fillId="15" borderId="31" xfId="0" applyFont="1" applyFill="1" applyBorder="1" applyAlignment="1" applyProtection="1">
      <alignment horizontal="left" vertical="center" wrapText="1"/>
    </xf>
    <xf numFmtId="0" fontId="73" fillId="2" borderId="60" xfId="0" applyFont="1" applyFill="1" applyBorder="1" applyAlignment="1">
      <alignment vertical="top" wrapText="1"/>
    </xf>
    <xf numFmtId="43" fontId="73" fillId="0" borderId="6" xfId="5" applyFont="1" applyBorder="1" applyAlignment="1">
      <alignment vertical="center" wrapText="1"/>
    </xf>
    <xf numFmtId="43" fontId="73" fillId="0" borderId="41" xfId="5" applyFont="1" applyBorder="1" applyAlignment="1">
      <alignment vertical="center" wrapText="1"/>
    </xf>
    <xf numFmtId="43" fontId="73" fillId="0" borderId="38" xfId="5" applyFont="1" applyBorder="1" applyAlignment="1">
      <alignment vertical="center" wrapText="1"/>
    </xf>
    <xf numFmtId="0" fontId="71" fillId="3" borderId="13" xfId="0" applyFont="1" applyFill="1" applyBorder="1" applyAlignment="1" applyProtection="1">
      <alignment vertical="top" wrapText="1"/>
    </xf>
    <xf numFmtId="0" fontId="73" fillId="0" borderId="31" xfId="0" applyFont="1" applyBorder="1" applyAlignment="1">
      <alignment vertical="center" wrapText="1"/>
    </xf>
    <xf numFmtId="0" fontId="71" fillId="3" borderId="0" xfId="0" applyFont="1" applyFill="1" applyBorder="1" applyAlignment="1" applyProtection="1">
      <alignment vertical="top" wrapText="1"/>
    </xf>
    <xf numFmtId="49" fontId="71" fillId="3" borderId="14" xfId="0" applyNumberFormat="1" applyFont="1" applyFill="1" applyBorder="1" applyAlignment="1">
      <alignment horizontal="left" vertical="top" wrapText="1"/>
    </xf>
    <xf numFmtId="0" fontId="73" fillId="0" borderId="0" xfId="0" applyFont="1"/>
    <xf numFmtId="0" fontId="73" fillId="0" borderId="64" xfId="0" applyFont="1" applyBorder="1" applyAlignment="1">
      <alignment vertical="center" wrapText="1"/>
    </xf>
    <xf numFmtId="0" fontId="73" fillId="2" borderId="46" xfId="0" applyFont="1" applyFill="1" applyBorder="1" applyAlignment="1">
      <alignment vertical="top" wrapText="1"/>
    </xf>
    <xf numFmtId="0" fontId="73" fillId="0" borderId="32" xfId="0" applyFont="1" applyBorder="1"/>
    <xf numFmtId="43" fontId="71" fillId="15" borderId="6" xfId="5" applyFont="1" applyFill="1" applyBorder="1" applyAlignment="1" applyProtection="1">
      <alignment horizontal="left" vertical="center" wrapText="1"/>
    </xf>
    <xf numFmtId="0" fontId="73" fillId="0" borderId="46" xfId="0" applyFont="1" applyBorder="1"/>
    <xf numFmtId="43" fontId="71" fillId="15" borderId="41" xfId="5" applyFont="1" applyFill="1" applyBorder="1" applyAlignment="1" applyProtection="1">
      <alignment horizontal="left" vertical="center" wrapText="1"/>
    </xf>
    <xf numFmtId="0" fontId="73" fillId="0" borderId="60" xfId="0" applyFont="1" applyBorder="1"/>
    <xf numFmtId="0" fontId="73" fillId="0" borderId="64" xfId="0" applyFont="1" applyBorder="1" applyAlignment="1">
      <alignment horizontal="left" vertical="center" wrapText="1"/>
    </xf>
    <xf numFmtId="0" fontId="73" fillId="2" borderId="60" xfId="0" applyFont="1" applyFill="1" applyBorder="1" applyAlignment="1">
      <alignment vertical="center" wrapText="1"/>
    </xf>
    <xf numFmtId="0" fontId="71" fillId="2" borderId="58" xfId="0" applyFont="1" applyFill="1" applyBorder="1" applyAlignment="1">
      <alignment horizontal="left" vertical="center"/>
    </xf>
    <xf numFmtId="39" fontId="74" fillId="2" borderId="52" xfId="0" applyNumberFormat="1" applyFont="1" applyFill="1" applyBorder="1" applyAlignment="1" applyProtection="1">
      <alignment horizontal="right" vertical="center" wrapText="1"/>
    </xf>
    <xf numFmtId="0" fontId="71" fillId="2" borderId="32" xfId="0" applyFont="1" applyFill="1" applyBorder="1" applyAlignment="1">
      <alignment horizontal="left" vertical="center" wrapText="1"/>
    </xf>
    <xf numFmtId="0" fontId="71" fillId="2" borderId="46" xfId="0" applyFont="1" applyFill="1" applyBorder="1" applyAlignment="1">
      <alignment horizontal="left" vertical="center" wrapText="1"/>
    </xf>
    <xf numFmtId="0" fontId="71" fillId="2" borderId="60" xfId="0" applyFont="1" applyFill="1" applyBorder="1" applyAlignment="1">
      <alignment horizontal="left" vertical="center" wrapText="1"/>
    </xf>
    <xf numFmtId="0" fontId="71" fillId="18" borderId="31" xfId="0" applyFont="1" applyFill="1" applyBorder="1" applyAlignment="1" applyProtection="1">
      <alignment horizontal="left" vertical="center" wrapText="1"/>
    </xf>
    <xf numFmtId="43" fontId="71" fillId="18" borderId="30" xfId="5" applyFont="1" applyFill="1" applyBorder="1" applyAlignment="1" applyProtection="1">
      <alignment horizontal="left" vertical="center" wrapText="1"/>
    </xf>
    <xf numFmtId="0" fontId="73" fillId="0" borderId="33" xfId="0" applyFont="1" applyBorder="1" applyAlignment="1">
      <alignment vertical="center" wrapText="1"/>
    </xf>
    <xf numFmtId="43" fontId="71" fillId="15" borderId="34" xfId="5" applyFont="1" applyFill="1" applyBorder="1" applyAlignment="1" applyProtection="1">
      <alignment horizontal="left" vertical="center" wrapText="1"/>
    </xf>
    <xf numFmtId="0" fontId="71" fillId="2" borderId="9" xfId="0" applyFont="1" applyFill="1" applyBorder="1" applyAlignment="1" applyProtection="1">
      <alignment horizontal="center" vertical="center" wrapText="1"/>
    </xf>
    <xf numFmtId="0" fontId="73" fillId="0" borderId="69" xfId="0" applyFont="1" applyBorder="1"/>
    <xf numFmtId="43" fontId="71" fillId="15" borderId="6" xfId="5" applyFont="1" applyFill="1" applyBorder="1" applyAlignment="1" applyProtection="1">
      <alignment horizontal="center" vertical="center" wrapText="1"/>
    </xf>
    <xf numFmtId="0" fontId="73" fillId="0" borderId="38" xfId="0" applyFont="1" applyBorder="1"/>
    <xf numFmtId="0" fontId="73" fillId="2" borderId="32" xfId="0" applyFont="1" applyFill="1" applyBorder="1" applyAlignment="1">
      <alignment vertical="center"/>
    </xf>
    <xf numFmtId="0" fontId="73" fillId="2" borderId="46" xfId="0" applyFont="1" applyFill="1" applyBorder="1" applyAlignment="1">
      <alignment vertical="center"/>
    </xf>
    <xf numFmtId="43" fontId="73" fillId="0" borderId="41" xfId="5" applyFont="1" applyBorder="1"/>
    <xf numFmtId="0" fontId="71" fillId="15" borderId="46" xfId="0" applyFont="1" applyFill="1" applyBorder="1" applyAlignment="1" applyProtection="1">
      <alignment horizontal="left" vertical="center" wrapText="1"/>
    </xf>
    <xf numFmtId="43" fontId="73" fillId="0" borderId="41" xfId="5" applyFont="1" applyFill="1" applyBorder="1"/>
    <xf numFmtId="43" fontId="73" fillId="0" borderId="38" xfId="5" applyFont="1" applyFill="1" applyBorder="1"/>
    <xf numFmtId="0" fontId="71" fillId="2" borderId="46" xfId="0" applyFont="1" applyFill="1" applyBorder="1" applyAlignment="1" applyProtection="1">
      <alignment vertical="center" wrapText="1"/>
    </xf>
    <xf numFmtId="0" fontId="71" fillId="15" borderId="32" xfId="0" applyFont="1" applyFill="1" applyBorder="1" applyAlignment="1" applyProtection="1">
      <alignment horizontal="left" vertical="center" wrapText="1"/>
    </xf>
    <xf numFmtId="43" fontId="73" fillId="0" borderId="6" xfId="5" applyFont="1" applyBorder="1"/>
    <xf numFmtId="0" fontId="71" fillId="2" borderId="60" xfId="0" applyFont="1" applyFill="1" applyBorder="1" applyAlignment="1" applyProtection="1">
      <alignment vertical="center" wrapText="1"/>
    </xf>
    <xf numFmtId="43" fontId="73" fillId="0" borderId="38" xfId="5" applyFont="1" applyBorder="1"/>
    <xf numFmtId="0" fontId="71" fillId="2" borderId="69" xfId="0" applyFont="1" applyFill="1" applyBorder="1" applyAlignment="1" applyProtection="1">
      <alignment vertical="center" wrapText="1"/>
    </xf>
    <xf numFmtId="0" fontId="71" fillId="0" borderId="0" xfId="0" applyFont="1"/>
    <xf numFmtId="43" fontId="71" fillId="2" borderId="52" xfId="5" applyFont="1" applyFill="1" applyBorder="1" applyAlignment="1" applyProtection="1">
      <alignment horizontal="right" vertical="center" wrapText="1"/>
    </xf>
    <xf numFmtId="0" fontId="71" fillId="2" borderId="32" xfId="0" applyFont="1" applyFill="1" applyBorder="1" applyAlignment="1" applyProtection="1">
      <alignment vertical="center" wrapText="1"/>
    </xf>
    <xf numFmtId="43" fontId="71" fillId="2" borderId="6" xfId="5" applyFont="1" applyFill="1" applyBorder="1" applyAlignment="1" applyProtection="1">
      <alignment horizontal="right" vertical="center" wrapText="1"/>
    </xf>
    <xf numFmtId="43" fontId="71" fillId="2" borderId="38" xfId="5" applyFont="1" applyFill="1" applyBorder="1" applyAlignment="1" applyProtection="1">
      <alignment horizontal="right" vertical="center" wrapText="1"/>
    </xf>
    <xf numFmtId="43" fontId="71" fillId="0" borderId="41" xfId="5" applyFont="1" applyBorder="1"/>
    <xf numFmtId="43" fontId="71" fillId="0" borderId="52" xfId="5" applyFont="1" applyBorder="1"/>
    <xf numFmtId="43" fontId="71" fillId="2" borderId="41" xfId="5" applyFont="1" applyFill="1" applyBorder="1" applyAlignment="1" applyProtection="1">
      <alignment horizontal="right" vertical="center" wrapText="1"/>
    </xf>
    <xf numFmtId="0" fontId="10" fillId="2" borderId="66" xfId="0" applyFont="1" applyFill="1" applyBorder="1" applyAlignment="1" applyProtection="1">
      <alignment vertical="top" wrapText="1"/>
    </xf>
    <xf numFmtId="0" fontId="10" fillId="0" borderId="16" xfId="0" applyFont="1" applyBorder="1"/>
    <xf numFmtId="0" fontId="10" fillId="2" borderId="61" xfId="0" applyFont="1" applyFill="1" applyBorder="1" applyAlignment="1" applyProtection="1">
      <alignment vertical="center" wrapText="1"/>
    </xf>
    <xf numFmtId="0" fontId="10" fillId="2" borderId="62" xfId="0" applyFont="1" applyFill="1" applyBorder="1" applyAlignment="1" applyProtection="1">
      <alignment vertical="top" wrapText="1"/>
    </xf>
    <xf numFmtId="0" fontId="10" fillId="2" borderId="6" xfId="0" applyFont="1" applyFill="1" applyBorder="1" applyAlignment="1" applyProtection="1">
      <alignment vertical="top" wrapText="1"/>
    </xf>
    <xf numFmtId="0" fontId="10" fillId="2" borderId="41" xfId="0" applyFont="1" applyFill="1" applyBorder="1" applyAlignment="1" applyProtection="1">
      <alignment vertical="top" wrapText="1"/>
    </xf>
    <xf numFmtId="0" fontId="10" fillId="2" borderId="38" xfId="0" applyFont="1" applyFill="1" applyBorder="1" applyAlignment="1" applyProtection="1">
      <alignment vertical="top" wrapText="1"/>
    </xf>
    <xf numFmtId="1" fontId="10" fillId="2" borderId="67" xfId="0" applyNumberFormat="1" applyFont="1" applyFill="1" applyBorder="1" applyAlignment="1" applyProtection="1">
      <alignment horizontal="left" vertical="center"/>
      <protection locked="0"/>
    </xf>
    <xf numFmtId="1" fontId="10" fillId="2" borderId="67" xfId="0" applyNumberFormat="1" applyFont="1" applyFill="1" applyBorder="1" applyAlignment="1" applyProtection="1">
      <alignment horizontal="left"/>
      <protection locked="0"/>
    </xf>
    <xf numFmtId="1" fontId="10" fillId="2" borderId="68" xfId="0" applyNumberFormat="1" applyFont="1" applyFill="1" applyBorder="1" applyAlignment="1" applyProtection="1">
      <alignment horizontal="left"/>
      <protection locked="0"/>
    </xf>
    <xf numFmtId="0" fontId="10" fillId="2" borderId="67" xfId="0" applyFont="1" applyFill="1" applyBorder="1" applyAlignment="1" applyProtection="1">
      <alignment horizontal="center" vertical="center"/>
    </xf>
    <xf numFmtId="0" fontId="15" fillId="2" borderId="67" xfId="7" applyFill="1" applyBorder="1" applyAlignment="1" applyProtection="1">
      <protection locked="0"/>
    </xf>
    <xf numFmtId="0" fontId="15" fillId="2" borderId="67" xfId="1" applyFill="1" applyBorder="1" applyAlignment="1" applyProtection="1">
      <protection locked="0"/>
    </xf>
    <xf numFmtId="0" fontId="10" fillId="22" borderId="0" xfId="0" applyFont="1" applyFill="1" applyAlignment="1">
      <alignment horizontal="left" vertical="center"/>
    </xf>
    <xf numFmtId="0" fontId="10" fillId="2" borderId="1" xfId="0" applyFont="1" applyFill="1" applyBorder="1" applyAlignment="1" applyProtection="1">
      <alignment horizont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43" xfId="0" applyFont="1" applyFill="1" applyBorder="1" applyAlignment="1" applyProtection="1">
      <alignment horizontal="left" vertical="center" wrapText="1"/>
    </xf>
    <xf numFmtId="164" fontId="10" fillId="2" borderId="24" xfId="11" applyFont="1" applyFill="1" applyBorder="1" applyAlignment="1" applyProtection="1">
      <alignment horizontal="center" vertical="center" wrapText="1"/>
    </xf>
    <xf numFmtId="0" fontId="71" fillId="2" borderId="43" xfId="0" applyFont="1" applyFill="1" applyBorder="1" applyAlignment="1" applyProtection="1">
      <alignment horizontal="center" vertical="center" wrapText="1"/>
    </xf>
    <xf numFmtId="43" fontId="71" fillId="18" borderId="59" xfId="5" applyFont="1" applyFill="1" applyBorder="1" applyAlignment="1" applyProtection="1">
      <alignment horizontal="center" vertical="center" wrapText="1"/>
    </xf>
    <xf numFmtId="43" fontId="71" fillId="18" borderId="30" xfId="5" applyFont="1" applyFill="1" applyBorder="1" applyAlignment="1" applyProtection="1">
      <alignment horizontal="center" vertical="center" wrapText="1"/>
    </xf>
    <xf numFmtId="43" fontId="71" fillId="18" borderId="61" xfId="5" applyFont="1" applyFill="1" applyBorder="1" applyAlignment="1" applyProtection="1">
      <alignment horizontal="center" vertical="center" wrapText="1"/>
    </xf>
    <xf numFmtId="0" fontId="21" fillId="0" borderId="0" xfId="0" applyFont="1" applyFill="1" applyBorder="1" applyAlignment="1" applyProtection="1">
      <alignment vertical="top" wrapText="1"/>
    </xf>
    <xf numFmtId="0" fontId="16" fillId="0" borderId="0" xfId="0" applyFont="1" applyFill="1" applyBorder="1" applyAlignment="1" applyProtection="1">
      <alignment vertical="top" wrapText="1"/>
    </xf>
    <xf numFmtId="0" fontId="23" fillId="3" borderId="0" xfId="0" applyFont="1" applyFill="1" applyBorder="1" applyAlignment="1" applyProtection="1">
      <alignment horizontal="left" vertical="center" wrapText="1"/>
    </xf>
    <xf numFmtId="0" fontId="16" fillId="2" borderId="28" xfId="0" applyFont="1" applyFill="1" applyBorder="1" applyAlignment="1" applyProtection="1">
      <alignment horizontal="left" vertical="center" wrapText="1"/>
    </xf>
    <xf numFmtId="0" fontId="51" fillId="3" borderId="0" xfId="0" applyFont="1" applyFill="1" applyBorder="1" applyAlignment="1" applyProtection="1">
      <alignment horizontal="left" vertical="center" wrapText="1"/>
    </xf>
    <xf numFmtId="0" fontId="23" fillId="3" borderId="0" xfId="0" applyFont="1" applyFill="1" applyBorder="1" applyAlignment="1" applyProtection="1">
      <alignment horizontal="center" wrapText="1"/>
    </xf>
    <xf numFmtId="0" fontId="16" fillId="17" borderId="18" xfId="0" applyFont="1" applyFill="1" applyBorder="1" applyAlignment="1" applyProtection="1">
      <alignment horizontal="left" vertical="center" wrapText="1"/>
    </xf>
    <xf numFmtId="0" fontId="30" fillId="11" borderId="25" xfId="0" applyFont="1" applyFill="1" applyBorder="1" applyAlignment="1" applyProtection="1">
      <alignment horizontal="center" vertical="center"/>
    </xf>
    <xf numFmtId="0" fontId="30" fillId="11" borderId="54" xfId="0" applyFont="1" applyFill="1" applyBorder="1" applyAlignment="1" applyProtection="1">
      <alignment horizontal="center" vertical="center" wrapText="1"/>
    </xf>
    <xf numFmtId="0" fontId="30" fillId="11" borderId="51" xfId="0" applyFont="1" applyFill="1" applyBorder="1" applyAlignment="1" applyProtection="1">
      <alignment horizontal="center" vertical="center" wrapText="1"/>
    </xf>
    <xf numFmtId="0" fontId="27" fillId="12" borderId="54" xfId="4" applyFill="1" applyBorder="1" applyAlignment="1" applyProtection="1">
      <alignment horizontal="center" vertical="center"/>
      <protection locked="0"/>
    </xf>
    <xf numFmtId="0" fontId="30" fillId="11" borderId="46" xfId="0" applyFont="1" applyFill="1" applyBorder="1" applyAlignment="1" applyProtection="1">
      <alignment horizontal="center" vertical="center" wrapText="1"/>
    </xf>
    <xf numFmtId="0" fontId="27" fillId="12" borderId="46" xfId="4" applyFill="1" applyBorder="1" applyAlignment="1" applyProtection="1">
      <alignment horizontal="center" vertical="center"/>
      <protection locked="0"/>
    </xf>
    <xf numFmtId="0" fontId="27" fillId="12" borderId="46" xfId="4" applyFill="1" applyBorder="1" applyAlignment="1" applyProtection="1">
      <alignment horizontal="center" vertical="center" wrapText="1"/>
      <protection locked="0"/>
    </xf>
    <xf numFmtId="0" fontId="10" fillId="13" borderId="71" xfId="0" applyFont="1" applyFill="1" applyBorder="1" applyAlignment="1" applyProtection="1">
      <alignment vertical="top" wrapText="1"/>
    </xf>
    <xf numFmtId="43" fontId="10" fillId="13" borderId="72" xfId="5" applyNumberFormat="1" applyFont="1" applyFill="1" applyBorder="1" applyAlignment="1" applyProtection="1">
      <alignment vertical="top" wrapText="1"/>
    </xf>
    <xf numFmtId="43" fontId="1" fillId="2" borderId="73" xfId="5" applyFont="1" applyFill="1" applyBorder="1" applyAlignment="1" applyProtection="1">
      <alignment vertical="top" wrapText="1"/>
    </xf>
    <xf numFmtId="0" fontId="10" fillId="13" borderId="74" xfId="0" applyFont="1" applyFill="1" applyBorder="1" applyAlignment="1" applyProtection="1">
      <alignment vertical="top" wrapText="1"/>
    </xf>
    <xf numFmtId="0" fontId="10" fillId="27" borderId="71" xfId="0" applyFont="1" applyFill="1" applyBorder="1" applyAlignment="1" applyProtection="1">
      <alignment vertical="top" wrapText="1"/>
    </xf>
    <xf numFmtId="0" fontId="10" fillId="2" borderId="75" xfId="0" applyFont="1" applyFill="1" applyBorder="1" applyAlignment="1" applyProtection="1">
      <alignment vertical="top" wrapText="1"/>
    </xf>
    <xf numFmtId="43" fontId="10" fillId="2" borderId="76" xfId="5" applyNumberFormat="1" applyFont="1" applyFill="1" applyBorder="1" applyAlignment="1" applyProtection="1">
      <alignment vertical="top" wrapText="1"/>
    </xf>
    <xf numFmtId="0" fontId="1" fillId="2" borderId="73" xfId="0" applyFont="1" applyFill="1" applyBorder="1" applyAlignment="1" applyProtection="1">
      <alignment vertical="top" wrapText="1"/>
    </xf>
    <xf numFmtId="0" fontId="1" fillId="2" borderId="65" xfId="0" applyFont="1" applyFill="1" applyBorder="1" applyAlignment="1" applyProtection="1">
      <alignment vertical="top" wrapText="1"/>
    </xf>
    <xf numFmtId="0" fontId="66" fillId="15" borderId="75" xfId="0" applyFont="1" applyFill="1" applyBorder="1" applyAlignment="1" applyProtection="1">
      <alignment horizontal="left" vertical="center" wrapText="1"/>
    </xf>
    <xf numFmtId="0" fontId="66" fillId="15" borderId="77" xfId="0" applyFont="1" applyFill="1" applyBorder="1" applyAlignment="1" applyProtection="1">
      <alignment horizontal="left" vertical="center" wrapText="1"/>
    </xf>
    <xf numFmtId="43" fontId="66" fillId="15" borderId="78" xfId="5" applyFont="1" applyFill="1" applyBorder="1" applyAlignment="1" applyProtection="1">
      <alignment horizontal="left" vertical="center" wrapText="1"/>
    </xf>
    <xf numFmtId="16" fontId="66" fillId="15" borderId="79" xfId="0" applyNumberFormat="1" applyFont="1" applyFill="1" applyBorder="1" applyAlignment="1" applyProtection="1">
      <alignment horizontal="left" vertical="center" wrapText="1"/>
    </xf>
    <xf numFmtId="43" fontId="66" fillId="16" borderId="76" xfId="5" applyFont="1" applyFill="1" applyBorder="1" applyAlignment="1" applyProtection="1">
      <alignment horizontal="left" vertical="center" wrapText="1"/>
    </xf>
    <xf numFmtId="0" fontId="10" fillId="15" borderId="75" xfId="0" applyFont="1" applyFill="1" applyBorder="1" applyAlignment="1" applyProtection="1">
      <alignment horizontal="left" vertical="center" wrapText="1"/>
    </xf>
    <xf numFmtId="0" fontId="10" fillId="15" borderId="77" xfId="0" applyFont="1" applyFill="1" applyBorder="1" applyAlignment="1" applyProtection="1">
      <alignment horizontal="left" vertical="center" wrapText="1"/>
    </xf>
    <xf numFmtId="43" fontId="10" fillId="15" borderId="78" xfId="5" applyFont="1" applyFill="1" applyBorder="1" applyAlignment="1" applyProtection="1">
      <alignment horizontal="left" vertical="center" wrapText="1"/>
    </xf>
    <xf numFmtId="16" fontId="10" fillId="15" borderId="79" xfId="0" applyNumberFormat="1" applyFont="1" applyFill="1" applyBorder="1" applyAlignment="1" applyProtection="1">
      <alignment horizontal="left" vertical="center" wrapText="1"/>
    </xf>
    <xf numFmtId="43" fontId="10" fillId="16" borderId="76" xfId="5" applyFont="1" applyFill="1" applyBorder="1" applyAlignment="1" applyProtection="1">
      <alignment horizontal="left" vertical="center" wrapText="1"/>
    </xf>
    <xf numFmtId="0" fontId="66" fillId="16" borderId="75" xfId="0" applyFont="1" applyFill="1" applyBorder="1" applyAlignment="1" applyProtection="1">
      <alignment horizontal="left" vertical="center" wrapText="1"/>
    </xf>
    <xf numFmtId="0" fontId="66" fillId="16" borderId="80" xfId="0" applyFont="1" applyFill="1" applyBorder="1" applyAlignment="1" applyProtection="1">
      <alignment horizontal="left" vertical="center" wrapText="1"/>
    </xf>
    <xf numFmtId="43" fontId="66" fillId="16" borderId="78" xfId="5" applyFont="1" applyFill="1" applyBorder="1" applyAlignment="1" applyProtection="1">
      <alignment horizontal="left" vertical="center" wrapText="1"/>
    </xf>
    <xf numFmtId="168" fontId="66" fillId="16" borderId="78" xfId="0" applyNumberFormat="1" applyFont="1" applyFill="1" applyBorder="1" applyAlignment="1" applyProtection="1">
      <alignment horizontal="left" vertical="center" wrapText="1"/>
    </xf>
    <xf numFmtId="164" fontId="10" fillId="2" borderId="80" xfId="11" applyFont="1" applyFill="1" applyBorder="1" applyAlignment="1" applyProtection="1">
      <alignment vertical="center" wrapText="1"/>
    </xf>
    <xf numFmtId="164" fontId="66" fillId="16" borderId="78" xfId="11" applyFont="1" applyFill="1" applyBorder="1" applyAlignment="1" applyProtection="1">
      <alignment horizontal="left" vertical="center" wrapText="1"/>
    </xf>
    <xf numFmtId="0" fontId="66" fillId="18" borderId="75" xfId="0" applyFont="1" applyFill="1" applyBorder="1" applyAlignment="1" applyProtection="1">
      <alignment horizontal="left" vertical="center" wrapText="1"/>
    </xf>
    <xf numFmtId="0" fontId="71" fillId="18" borderId="75" xfId="0" applyFont="1" applyFill="1" applyBorder="1" applyAlignment="1" applyProtection="1">
      <alignment horizontal="left" vertical="center" wrapText="1"/>
    </xf>
    <xf numFmtId="0" fontId="71" fillId="0" borderId="77" xfId="0" applyFont="1" applyFill="1" applyBorder="1" applyAlignment="1" applyProtection="1">
      <alignment horizontal="left" vertical="center" wrapText="1"/>
    </xf>
    <xf numFmtId="43" fontId="71" fillId="0" borderId="77" xfId="5" applyFont="1" applyFill="1" applyBorder="1" applyAlignment="1" applyProtection="1">
      <alignment horizontal="left" vertical="center" wrapText="1"/>
    </xf>
    <xf numFmtId="14" fontId="71" fillId="15" borderId="79" xfId="0" applyNumberFormat="1" applyFont="1" applyFill="1" applyBorder="1" applyAlignment="1" applyProtection="1">
      <alignment horizontal="left" vertical="center" wrapText="1"/>
    </xf>
    <xf numFmtId="43" fontId="71" fillId="0" borderId="80" xfId="5" applyFont="1" applyFill="1" applyBorder="1" applyAlignment="1" applyProtection="1">
      <alignment horizontal="left" vertical="center" wrapText="1"/>
    </xf>
    <xf numFmtId="43" fontId="71" fillId="16" borderId="76" xfId="5" applyFont="1" applyFill="1" applyBorder="1" applyAlignment="1" applyProtection="1">
      <alignment horizontal="left" vertical="center" wrapText="1"/>
    </xf>
    <xf numFmtId="0" fontId="10" fillId="2" borderId="81" xfId="0" applyFont="1" applyFill="1" applyBorder="1" applyAlignment="1" applyProtection="1">
      <alignment vertical="top" wrapText="1"/>
    </xf>
    <xf numFmtId="43" fontId="66" fillId="16" borderId="79" xfId="5" applyFont="1" applyFill="1" applyBorder="1" applyAlignment="1" applyProtection="1">
      <alignment horizontal="left" vertical="center" wrapText="1"/>
    </xf>
    <xf numFmtId="168" fontId="66" fillId="16" borderId="79" xfId="0" applyNumberFormat="1" applyFont="1" applyFill="1" applyBorder="1" applyAlignment="1" applyProtection="1">
      <alignment horizontal="left" vertical="center" wrapText="1"/>
    </xf>
    <xf numFmtId="0" fontId="40" fillId="15" borderId="81" xfId="0" applyFont="1" applyFill="1" applyBorder="1" applyAlignment="1" applyProtection="1">
      <alignment horizontal="left" vertical="center" wrapText="1"/>
    </xf>
    <xf numFmtId="43" fontId="40" fillId="15" borderId="79" xfId="5" applyFont="1" applyFill="1" applyBorder="1" applyAlignment="1" applyProtection="1">
      <alignment horizontal="left" vertical="center" wrapText="1"/>
    </xf>
    <xf numFmtId="0" fontId="40" fillId="15" borderId="79" xfId="0" applyFont="1" applyFill="1" applyBorder="1" applyAlignment="1" applyProtection="1">
      <alignment horizontal="left" vertical="center" wrapText="1"/>
    </xf>
    <xf numFmtId="43" fontId="40" fillId="18" borderId="79" xfId="5" applyFont="1" applyFill="1" applyBorder="1" applyAlignment="1" applyProtection="1">
      <alignment horizontal="left" vertical="center" wrapText="1"/>
    </xf>
    <xf numFmtId="43" fontId="40" fillId="16" borderId="76" xfId="5" applyFont="1" applyFill="1" applyBorder="1" applyAlignment="1" applyProtection="1">
      <alignment horizontal="left" vertical="center" wrapText="1"/>
    </xf>
    <xf numFmtId="0" fontId="10" fillId="15" borderId="82" xfId="0" applyFont="1" applyFill="1" applyBorder="1" applyAlignment="1" applyProtection="1">
      <alignment horizontal="left" vertical="center" wrapText="1"/>
    </xf>
    <xf numFmtId="0" fontId="16" fillId="0" borderId="83" xfId="0" applyFont="1" applyBorder="1" applyAlignment="1">
      <alignment horizontal="left" wrapText="1"/>
    </xf>
    <xf numFmtId="164" fontId="10" fillId="2" borderId="70" xfId="0" applyNumberFormat="1" applyFont="1" applyFill="1" applyBorder="1" applyAlignment="1" applyProtection="1">
      <alignment vertical="top" wrapText="1"/>
    </xf>
    <xf numFmtId="0" fontId="71" fillId="15" borderId="83" xfId="0" applyFont="1" applyFill="1" applyBorder="1" applyAlignment="1" applyProtection="1">
      <alignment horizontal="left" vertical="top" wrapText="1"/>
    </xf>
    <xf numFmtId="0" fontId="71" fillId="15" borderId="83" xfId="0" applyFont="1" applyFill="1" applyBorder="1" applyAlignment="1" applyProtection="1">
      <alignment horizontal="left" vertical="center" wrapText="1"/>
    </xf>
    <xf numFmtId="0" fontId="71" fillId="18" borderId="83" xfId="0" applyFont="1" applyFill="1" applyBorder="1" applyAlignment="1" applyProtection="1">
      <alignment horizontal="left" vertical="center" wrapText="1"/>
    </xf>
    <xf numFmtId="0" fontId="73" fillId="0" borderId="83" xfId="0" applyFont="1" applyBorder="1" applyAlignment="1">
      <alignment vertical="center" wrapText="1"/>
    </xf>
    <xf numFmtId="0" fontId="73" fillId="2" borderId="83" xfId="0" applyFont="1" applyFill="1" applyBorder="1" applyAlignment="1">
      <alignment vertical="center" wrapText="1"/>
    </xf>
    <xf numFmtId="0" fontId="71" fillId="2" borderId="85" xfId="0" applyFont="1" applyFill="1" applyBorder="1" applyAlignment="1">
      <alignment horizontal="left" vertical="center"/>
    </xf>
    <xf numFmtId="39" fontId="74" fillId="2" borderId="84" xfId="0" applyNumberFormat="1" applyFont="1" applyFill="1" applyBorder="1" applyAlignment="1" applyProtection="1">
      <alignment horizontal="right" vertical="center" wrapText="1"/>
    </xf>
    <xf numFmtId="43" fontId="71" fillId="15" borderId="84" xfId="5" applyFont="1" applyFill="1" applyBorder="1" applyAlignment="1" applyProtection="1">
      <alignment horizontal="left" vertical="center" wrapText="1"/>
    </xf>
    <xf numFmtId="0" fontId="73" fillId="0" borderId="83" xfId="0" applyFont="1" applyBorder="1"/>
    <xf numFmtId="0" fontId="71" fillId="2" borderId="83" xfId="0" applyFont="1" applyFill="1" applyBorder="1" applyAlignment="1" applyProtection="1">
      <alignment vertical="center" wrapText="1"/>
    </xf>
    <xf numFmtId="43" fontId="71" fillId="2" borderId="84" xfId="5" applyFont="1" applyFill="1" applyBorder="1" applyAlignment="1" applyProtection="1">
      <alignment horizontal="right" vertical="center" wrapText="1"/>
    </xf>
    <xf numFmtId="43" fontId="73" fillId="0" borderId="84" xfId="5" applyFont="1" applyBorder="1"/>
    <xf numFmtId="0" fontId="16" fillId="15" borderId="70" xfId="0" applyFont="1" applyFill="1" applyBorder="1" applyAlignment="1" applyProtection="1">
      <alignment horizontal="justify" vertical="top" wrapText="1"/>
    </xf>
    <xf numFmtId="0" fontId="21" fillId="16" borderId="70" xfId="0" applyFont="1" applyFill="1" applyBorder="1" applyAlignment="1" applyProtection="1">
      <alignment horizontal="center" vertical="center" wrapText="1"/>
    </xf>
    <xf numFmtId="0" fontId="16" fillId="15" borderId="67" xfId="0" applyFont="1" applyFill="1" applyBorder="1" applyAlignment="1" applyProtection="1">
      <alignment horizontal="justify" vertical="center" wrapText="1"/>
    </xf>
    <xf numFmtId="0" fontId="21" fillId="16" borderId="67" xfId="0" applyFont="1" applyFill="1" applyBorder="1" applyAlignment="1" applyProtection="1">
      <alignment horizontal="center" vertical="center" wrapText="1"/>
    </xf>
    <xf numFmtId="0" fontId="16" fillId="15" borderId="67" xfId="0" applyFont="1" applyFill="1" applyBorder="1" applyAlignment="1" applyProtection="1">
      <alignment horizontal="justify" vertical="top" wrapText="1"/>
    </xf>
    <xf numFmtId="0" fontId="16" fillId="15" borderId="37" xfId="0" applyFont="1" applyFill="1" applyBorder="1" applyAlignment="1" applyProtection="1">
      <alignment horizontal="justify" vertical="center" wrapText="1"/>
    </xf>
    <xf numFmtId="0" fontId="21" fillId="16" borderId="37" xfId="0" applyFont="1" applyFill="1" applyBorder="1" applyAlignment="1" applyProtection="1">
      <alignment horizontal="center" vertical="center" wrapText="1"/>
    </xf>
    <xf numFmtId="0" fontId="21" fillId="16" borderId="51" xfId="0" applyFont="1" applyFill="1" applyBorder="1" applyAlignment="1" applyProtection="1">
      <alignment horizontal="center" vertical="center" wrapText="1"/>
    </xf>
    <xf numFmtId="0" fontId="16" fillId="15" borderId="68" xfId="0" applyFont="1" applyFill="1" applyBorder="1" applyAlignment="1" applyProtection="1">
      <alignment horizontal="justify" vertical="center" wrapText="1"/>
    </xf>
    <xf numFmtId="0" fontId="16" fillId="2" borderId="67" xfId="0" applyFont="1" applyFill="1" applyBorder="1" applyAlignment="1" applyProtection="1">
      <alignment horizontal="left" vertical="top" wrapText="1"/>
    </xf>
    <xf numFmtId="0" fontId="16" fillId="2" borderId="37" xfId="0" applyFont="1" applyFill="1" applyBorder="1" applyAlignment="1" applyProtection="1">
      <alignment horizontal="left" vertical="top" wrapText="1"/>
    </xf>
    <xf numFmtId="0" fontId="16" fillId="15" borderId="70" xfId="0" applyFont="1" applyFill="1" applyBorder="1" applyAlignment="1" applyProtection="1">
      <alignment horizontal="left" vertical="center" wrapText="1"/>
    </xf>
    <xf numFmtId="0" fontId="16" fillId="16" borderId="84" xfId="0" applyFont="1" applyFill="1" applyBorder="1" applyAlignment="1" applyProtection="1">
      <alignment horizontal="justify" vertical="top" wrapText="1"/>
    </xf>
    <xf numFmtId="0" fontId="16" fillId="15" borderId="67" xfId="0" applyFont="1" applyFill="1" applyBorder="1" applyAlignment="1" applyProtection="1">
      <alignment horizontal="left" vertical="center" wrapText="1"/>
    </xf>
    <xf numFmtId="0" fontId="16" fillId="16" borderId="41" xfId="0" applyFont="1" applyFill="1" applyBorder="1" applyAlignment="1" applyProtection="1">
      <alignment horizontal="justify" vertical="top" wrapText="1"/>
    </xf>
    <xf numFmtId="0" fontId="16" fillId="0" borderId="41" xfId="0" applyFont="1" applyFill="1" applyBorder="1" applyAlignment="1" applyProtection="1">
      <alignment horizontal="justify" vertical="top" wrapText="1"/>
    </xf>
    <xf numFmtId="0" fontId="16" fillId="0" borderId="67" xfId="0" applyFont="1" applyFill="1" applyBorder="1" applyAlignment="1" applyProtection="1">
      <alignment horizontal="justify" wrapText="1"/>
    </xf>
    <xf numFmtId="0" fontId="16" fillId="0" borderId="67" xfId="0" applyFont="1" applyFill="1" applyBorder="1" applyAlignment="1" applyProtection="1">
      <alignment horizontal="justify" vertical="top" wrapText="1"/>
    </xf>
    <xf numFmtId="0" fontId="16" fillId="0" borderId="41" xfId="0" applyFont="1" applyFill="1" applyBorder="1" applyAlignment="1" applyProtection="1">
      <alignment horizontal="justify" vertical="center" wrapText="1"/>
    </xf>
    <xf numFmtId="0" fontId="16" fillId="15" borderId="55" xfId="0" applyFont="1" applyFill="1" applyBorder="1" applyAlignment="1" applyProtection="1">
      <alignment horizontal="left" vertical="center" wrapText="1"/>
    </xf>
    <xf numFmtId="0" fontId="16" fillId="15" borderId="54" xfId="0" applyFont="1" applyFill="1" applyBorder="1" applyAlignment="1" applyProtection="1">
      <alignment horizontal="left" vertical="center" wrapText="1"/>
    </xf>
    <xf numFmtId="0" fontId="16" fillId="0" borderId="84" xfId="0" applyFont="1" applyFill="1" applyBorder="1" applyAlignment="1" applyProtection="1">
      <alignment horizontal="justify" vertical="top" wrapText="1"/>
    </xf>
    <xf numFmtId="49" fontId="16" fillId="0" borderId="68" xfId="0" applyNumberFormat="1" applyFont="1" applyFill="1" applyBorder="1" applyAlignment="1" applyProtection="1">
      <alignment horizontal="justify" vertical="center" wrapText="1"/>
    </xf>
    <xf numFmtId="0" fontId="16" fillId="15" borderId="96" xfId="0" applyFont="1" applyFill="1" applyBorder="1" applyAlignment="1" applyProtection="1">
      <alignment horizontal="left" vertical="center" wrapText="1"/>
    </xf>
    <xf numFmtId="0" fontId="16" fillId="0" borderId="97" xfId="0" applyFont="1" applyFill="1" applyBorder="1" applyAlignment="1" applyProtection="1">
      <alignment horizontal="justify" vertical="top" wrapText="1"/>
    </xf>
    <xf numFmtId="0" fontId="30" fillId="11" borderId="99" xfId="0" applyFont="1" applyFill="1" applyBorder="1" applyAlignment="1" applyProtection="1">
      <alignment horizontal="left" vertical="center" wrapText="1"/>
    </xf>
    <xf numFmtId="0" fontId="32" fillId="8" borderId="99" xfId="4" applyFont="1" applyBorder="1" applyAlignment="1" applyProtection="1">
      <alignment horizontal="center" vertical="center"/>
      <protection locked="0"/>
    </xf>
    <xf numFmtId="0" fontId="32" fillId="8" borderId="100" xfId="4" applyFont="1" applyBorder="1" applyAlignment="1" applyProtection="1">
      <alignment horizontal="center" vertical="center"/>
      <protection locked="0"/>
    </xf>
    <xf numFmtId="0" fontId="32" fillId="12" borderId="100" xfId="4" applyFont="1" applyFill="1" applyBorder="1" applyAlignment="1" applyProtection="1">
      <alignment horizontal="center" vertical="center"/>
      <protection locked="0"/>
    </xf>
    <xf numFmtId="0" fontId="32" fillId="12" borderId="99" xfId="4" applyFont="1" applyFill="1" applyBorder="1" applyAlignment="1" applyProtection="1">
      <alignment horizontal="center" vertical="center"/>
      <protection locked="0"/>
    </xf>
    <xf numFmtId="0" fontId="33" fillId="0" borderId="99" xfId="0" applyFont="1" applyBorder="1" applyAlignment="1" applyProtection="1">
      <alignment horizontal="left" vertical="center"/>
    </xf>
    <xf numFmtId="10" fontId="32" fillId="8" borderId="99" xfId="4" applyNumberFormat="1" applyFont="1" applyBorder="1" applyAlignment="1" applyProtection="1">
      <alignment horizontal="center" vertical="center"/>
      <protection locked="0"/>
    </xf>
    <xf numFmtId="10" fontId="32" fillId="8" borderId="100" xfId="4" applyNumberFormat="1" applyFont="1" applyBorder="1" applyAlignment="1" applyProtection="1">
      <alignment horizontal="center" vertical="center"/>
      <protection locked="0"/>
    </xf>
    <xf numFmtId="10" fontId="32" fillId="12" borderId="99" xfId="4" applyNumberFormat="1" applyFont="1" applyFill="1" applyBorder="1" applyAlignment="1" applyProtection="1">
      <alignment horizontal="center" vertical="center"/>
      <protection locked="0"/>
    </xf>
    <xf numFmtId="10" fontId="32" fillId="12" borderId="100" xfId="4" applyNumberFormat="1" applyFont="1" applyFill="1" applyBorder="1" applyAlignment="1" applyProtection="1">
      <alignment horizontal="center" vertical="center"/>
      <protection locked="0"/>
    </xf>
    <xf numFmtId="0" fontId="30" fillId="11" borderId="84" xfId="0" applyFont="1" applyFill="1" applyBorder="1" applyAlignment="1" applyProtection="1">
      <alignment horizontal="center" vertical="center" wrapText="1"/>
    </xf>
    <xf numFmtId="0" fontId="30" fillId="11" borderId="86" xfId="0" applyFont="1" applyFill="1" applyBorder="1" applyAlignment="1" applyProtection="1">
      <alignment horizontal="center" vertical="center" wrapText="1"/>
    </xf>
    <xf numFmtId="0" fontId="31" fillId="0" borderId="99" xfId="0" applyFont="1" applyFill="1" applyBorder="1" applyAlignment="1" applyProtection="1">
      <alignment vertical="center" wrapText="1"/>
    </xf>
    <xf numFmtId="0" fontId="34" fillId="2" borderId="99" xfId="0" applyFont="1" applyFill="1" applyBorder="1" applyAlignment="1" applyProtection="1">
      <alignment vertical="center" wrapText="1"/>
    </xf>
    <xf numFmtId="0" fontId="30" fillId="11" borderId="99" xfId="0" applyFont="1" applyFill="1" applyBorder="1" applyAlignment="1" applyProtection="1">
      <alignment horizontal="center" vertical="center" wrapText="1"/>
    </xf>
    <xf numFmtId="0" fontId="30" fillId="11" borderId="100" xfId="0" applyFont="1" applyFill="1" applyBorder="1" applyAlignment="1" applyProtection="1">
      <alignment horizontal="center" vertical="center" wrapText="1"/>
    </xf>
    <xf numFmtId="0" fontId="35" fillId="8" borderId="99" xfId="4" applyFont="1" applyBorder="1" applyAlignment="1" applyProtection="1">
      <alignment horizontal="center" vertical="center"/>
      <protection locked="0"/>
    </xf>
    <xf numFmtId="0" fontId="35" fillId="8" borderId="100" xfId="4" applyFont="1" applyBorder="1" applyAlignment="1" applyProtection="1">
      <alignment horizontal="center" vertical="center" wrapText="1"/>
      <protection locked="0"/>
    </xf>
    <xf numFmtId="0" fontId="35" fillId="12" borderId="99" xfId="4" applyFont="1" applyFill="1" applyBorder="1" applyAlignment="1" applyProtection="1">
      <alignment horizontal="center" vertical="center"/>
      <protection locked="0"/>
    </xf>
    <xf numFmtId="0" fontId="35" fillId="12" borderId="100" xfId="4" applyFont="1" applyFill="1" applyBorder="1" applyAlignment="1" applyProtection="1">
      <alignment horizontal="center" vertical="center" wrapText="1"/>
      <protection locked="0"/>
    </xf>
    <xf numFmtId="0" fontId="35" fillId="8" borderId="100" xfId="4" applyFont="1" applyBorder="1" applyAlignment="1" applyProtection="1">
      <alignment vertical="center"/>
      <protection locked="0"/>
    </xf>
    <xf numFmtId="0" fontId="35" fillId="12" borderId="100" xfId="4" applyFont="1" applyFill="1" applyBorder="1" applyAlignment="1" applyProtection="1">
      <alignment vertical="center"/>
      <protection locked="0"/>
    </xf>
    <xf numFmtId="0" fontId="35" fillId="8" borderId="100" xfId="4" applyFont="1" applyBorder="1" applyAlignment="1" applyProtection="1">
      <alignment horizontal="center" vertical="center"/>
      <protection locked="0"/>
    </xf>
    <xf numFmtId="0" fontId="35" fillId="12" borderId="100" xfId="4" applyFont="1" applyFill="1" applyBorder="1" applyAlignment="1" applyProtection="1">
      <alignment horizontal="center" vertical="center"/>
      <protection locked="0"/>
    </xf>
    <xf numFmtId="0" fontId="30" fillId="11" borderId="84" xfId="0" applyFont="1" applyFill="1" applyBorder="1" applyAlignment="1" applyProtection="1">
      <alignment horizontal="center" vertical="center"/>
    </xf>
    <xf numFmtId="0" fontId="30" fillId="11" borderId="98" xfId="0" applyFont="1" applyFill="1" applyBorder="1" applyAlignment="1" applyProtection="1">
      <alignment horizontal="center" vertical="center" wrapText="1"/>
    </xf>
    <xf numFmtId="0" fontId="27" fillId="8" borderId="99" xfId="4" applyBorder="1" applyProtection="1">
      <protection locked="0"/>
    </xf>
    <xf numFmtId="0" fontId="35" fillId="8" borderId="98" xfId="4" applyFont="1" applyBorder="1" applyAlignment="1" applyProtection="1">
      <alignment vertical="center" wrapText="1"/>
      <protection locked="0"/>
    </xf>
    <xf numFmtId="0" fontId="27" fillId="12" borderId="99" xfId="4" applyFill="1" applyBorder="1" applyProtection="1">
      <protection locked="0"/>
    </xf>
    <xf numFmtId="0" fontId="35" fillId="12" borderId="98" xfId="4" applyFont="1" applyFill="1" applyBorder="1" applyAlignment="1" applyProtection="1">
      <alignment vertical="center" wrapText="1"/>
      <protection locked="0"/>
    </xf>
    <xf numFmtId="0" fontId="30" fillId="11" borderId="103" xfId="0" applyFont="1" applyFill="1" applyBorder="1" applyAlignment="1" applyProtection="1">
      <alignment horizontal="center" vertical="center" wrapText="1"/>
    </xf>
    <xf numFmtId="0" fontId="30" fillId="11" borderId="101" xfId="0" applyFont="1" applyFill="1" applyBorder="1" applyAlignment="1" applyProtection="1">
      <alignment horizontal="center" vertical="center"/>
    </xf>
    <xf numFmtId="0" fontId="27" fillId="8" borderId="99" xfId="4" applyBorder="1" applyAlignment="1" applyProtection="1">
      <alignment vertical="center" wrapText="1"/>
      <protection locked="0"/>
    </xf>
    <xf numFmtId="0" fontId="27" fillId="12" borderId="99" xfId="4" applyFill="1" applyBorder="1" applyAlignment="1" applyProtection="1">
      <alignment vertical="center" wrapText="1"/>
      <protection locked="0"/>
    </xf>
    <xf numFmtId="0" fontId="27" fillId="8" borderId="100" xfId="4" applyBorder="1" applyAlignment="1" applyProtection="1">
      <alignment horizontal="center" vertical="center"/>
      <protection locked="0"/>
    </xf>
    <xf numFmtId="0" fontId="27" fillId="12" borderId="100" xfId="4" applyFill="1" applyBorder="1" applyAlignment="1" applyProtection="1">
      <alignment horizontal="center" vertical="center"/>
      <protection locked="0"/>
    </xf>
    <xf numFmtId="0" fontId="30" fillId="11" borderId="86" xfId="0" applyFont="1" applyFill="1" applyBorder="1" applyAlignment="1" applyProtection="1">
      <alignment horizontal="center" vertical="center"/>
    </xf>
    <xf numFmtId="0" fontId="27" fillId="8" borderId="100" xfId="4" applyBorder="1" applyAlignment="1" applyProtection="1">
      <alignment vertical="center" wrapText="1"/>
      <protection locked="0"/>
    </xf>
    <xf numFmtId="0" fontId="27" fillId="12" borderId="98" xfId="4" applyFill="1" applyBorder="1" applyAlignment="1" applyProtection="1">
      <alignment horizontal="center" vertical="center" wrapText="1"/>
      <protection locked="0"/>
    </xf>
    <xf numFmtId="0" fontId="27" fillId="12" borderId="100" xfId="4" applyFill="1" applyBorder="1" applyAlignment="1" applyProtection="1">
      <alignment vertical="center" wrapText="1"/>
      <protection locked="0"/>
    </xf>
    <xf numFmtId="0" fontId="30" fillId="11" borderId="98" xfId="0" applyFont="1" applyFill="1" applyBorder="1" applyAlignment="1" applyProtection="1">
      <alignment horizontal="center" vertical="center"/>
    </xf>
    <xf numFmtId="10" fontId="27" fillId="12" borderId="99" xfId="4" applyNumberFormat="1" applyFill="1" applyBorder="1" applyAlignment="1" applyProtection="1">
      <alignment horizontal="center" vertical="center"/>
      <protection locked="0"/>
    </xf>
    <xf numFmtId="0" fontId="30" fillId="11" borderId="99" xfId="0" applyFont="1" applyFill="1" applyBorder="1" applyAlignment="1" applyProtection="1">
      <alignment horizontal="center" wrapText="1"/>
    </xf>
    <xf numFmtId="0" fontId="30" fillId="11" borderId="100" xfId="0" applyFont="1" applyFill="1" applyBorder="1" applyAlignment="1" applyProtection="1">
      <alignment horizontal="center" wrapText="1"/>
    </xf>
    <xf numFmtId="0" fontId="27" fillId="8" borderId="99" xfId="4" applyBorder="1" applyAlignment="1" applyProtection="1">
      <alignment horizontal="center" vertical="center"/>
      <protection locked="0"/>
    </xf>
    <xf numFmtId="0" fontId="27" fillId="12" borderId="99" xfId="4" applyFill="1" applyBorder="1" applyAlignment="1" applyProtection="1">
      <alignment horizontal="center" vertical="center"/>
      <protection locked="0"/>
    </xf>
    <xf numFmtId="0" fontId="70" fillId="8" borderId="99" xfId="4" applyFont="1" applyBorder="1" applyAlignment="1" applyProtection="1">
      <alignment horizontal="center" vertical="center" wrapText="1"/>
      <protection locked="0"/>
    </xf>
    <xf numFmtId="0" fontId="70" fillId="8" borderId="100" xfId="4" applyFont="1" applyBorder="1" applyAlignment="1" applyProtection="1">
      <alignment horizontal="center" vertical="center"/>
      <protection locked="0"/>
    </xf>
    <xf numFmtId="0" fontId="70" fillId="12" borderId="99" xfId="4" applyFont="1" applyFill="1" applyBorder="1" applyAlignment="1" applyProtection="1">
      <alignment horizontal="center" vertical="center" wrapText="1"/>
      <protection locked="0"/>
    </xf>
    <xf numFmtId="0" fontId="70" fillId="12" borderId="100" xfId="4" applyFont="1" applyFill="1" applyBorder="1" applyAlignment="1" applyProtection="1">
      <alignment horizontal="center" vertical="center"/>
      <protection locked="0"/>
    </xf>
    <xf numFmtId="0" fontId="27" fillId="8" borderId="98" xfId="4" applyBorder="1" applyAlignment="1" applyProtection="1">
      <alignment vertical="center"/>
      <protection locked="0"/>
    </xf>
    <xf numFmtId="0" fontId="16" fillId="3" borderId="65" xfId="0" applyFont="1" applyFill="1" applyBorder="1" applyAlignment="1" applyProtection="1">
      <alignment horizontal="left" vertical="top" wrapText="1"/>
    </xf>
    <xf numFmtId="0" fontId="16" fillId="15" borderId="95" xfId="0" applyFont="1" applyFill="1" applyBorder="1" applyAlignment="1" applyProtection="1">
      <alignment vertical="top" wrapText="1"/>
    </xf>
    <xf numFmtId="0" fontId="16" fillId="15" borderId="54" xfId="0" applyFont="1" applyFill="1" applyBorder="1" applyAlignment="1" applyProtection="1">
      <alignment horizontal="center" vertical="center" wrapText="1"/>
    </xf>
    <xf numFmtId="0" fontId="16" fillId="15" borderId="68" xfId="0" applyFont="1" applyFill="1" applyBorder="1" applyAlignment="1" applyProtection="1">
      <alignment vertical="top" wrapText="1"/>
    </xf>
    <xf numFmtId="0" fontId="16" fillId="16" borderId="95" xfId="0" applyFont="1" applyFill="1" applyBorder="1" applyAlignment="1" applyProtection="1">
      <alignment vertical="top" wrapText="1"/>
    </xf>
    <xf numFmtId="0" fontId="16" fillId="16" borderId="54" xfId="0" applyFont="1" applyFill="1" applyBorder="1" applyAlignment="1" applyProtection="1">
      <alignment horizontal="center" vertical="center" wrapText="1"/>
    </xf>
    <xf numFmtId="0" fontId="16" fillId="18" borderId="68" xfId="0" applyFont="1" applyFill="1" applyBorder="1" applyAlignment="1" applyProtection="1">
      <alignment vertical="top" wrapText="1"/>
    </xf>
    <xf numFmtId="0" fontId="16" fillId="18" borderId="68" xfId="0" applyFont="1" applyFill="1" applyBorder="1" applyAlignment="1" applyProtection="1">
      <alignment horizontal="center" vertical="center" wrapText="1"/>
    </xf>
    <xf numFmtId="0" fontId="10" fillId="18" borderId="37" xfId="0" applyFont="1" applyFill="1" applyBorder="1" applyAlignment="1" applyProtection="1">
      <alignment horizontal="left" vertical="top" wrapText="1"/>
    </xf>
    <xf numFmtId="0" fontId="10" fillId="18" borderId="37" xfId="0" applyFont="1" applyFill="1" applyBorder="1" applyAlignment="1" applyProtection="1">
      <alignment horizontal="center" vertical="center" wrapText="1"/>
    </xf>
    <xf numFmtId="0" fontId="45" fillId="0" borderId="99" xfId="0" applyFont="1" applyBorder="1" applyAlignment="1">
      <alignment horizontal="center" vertical="center" wrapText="1"/>
    </xf>
    <xf numFmtId="0" fontId="46" fillId="0" borderId="99" xfId="0" applyFont="1" applyBorder="1" applyAlignment="1">
      <alignment horizontal="center" vertical="center" wrapText="1"/>
    </xf>
    <xf numFmtId="0" fontId="11" fillId="0" borderId="99" xfId="0" applyFont="1" applyBorder="1" applyAlignment="1">
      <alignment horizontal="center" vertical="center"/>
    </xf>
    <xf numFmtId="0" fontId="11" fillId="0" borderId="99" xfId="0" applyFont="1" applyBorder="1" applyAlignment="1">
      <alignment horizontal="center" vertical="center" wrapText="1"/>
    </xf>
    <xf numFmtId="0" fontId="10" fillId="22" borderId="99" xfId="0" applyFont="1" applyFill="1" applyBorder="1" applyAlignment="1">
      <alignment vertical="center"/>
    </xf>
    <xf numFmtId="0" fontId="10" fillId="22" borderId="99" xfId="0" applyFont="1" applyFill="1" applyBorder="1" applyAlignment="1">
      <alignment vertical="center" wrapText="1"/>
    </xf>
    <xf numFmtId="0" fontId="10" fillId="0" borderId="99" xfId="0" applyFont="1" applyBorder="1" applyAlignment="1">
      <alignment horizontal="center" vertical="center"/>
    </xf>
    <xf numFmtId="164" fontId="10" fillId="0" borderId="99" xfId="0" applyNumberFormat="1" applyFont="1" applyBorder="1" applyAlignment="1">
      <alignment horizontal="center" vertical="center"/>
    </xf>
    <xf numFmtId="0" fontId="10" fillId="0" borderId="99" xfId="5" applyNumberFormat="1" applyFont="1" applyFill="1" applyBorder="1" applyAlignment="1">
      <alignment vertical="center" wrapText="1"/>
    </xf>
    <xf numFmtId="0" fontId="10" fillId="0" borderId="99" xfId="0" applyFont="1" applyBorder="1" applyAlignment="1">
      <alignment vertical="center"/>
    </xf>
    <xf numFmtId="17" fontId="10" fillId="0" borderId="99" xfId="0" applyNumberFormat="1" applyFont="1" applyBorder="1" applyAlignment="1">
      <alignment vertical="center"/>
    </xf>
    <xf numFmtId="0" fontId="16" fillId="22" borderId="99" xfId="0" applyFont="1" applyFill="1" applyBorder="1" applyAlignment="1">
      <alignment vertical="center" wrapText="1"/>
    </xf>
    <xf numFmtId="0" fontId="10" fillId="0" borderId="99" xfId="0" applyFont="1" applyFill="1" applyBorder="1" applyAlignment="1">
      <alignment vertical="center" wrapText="1"/>
    </xf>
    <xf numFmtId="0" fontId="10" fillId="22" borderId="99" xfId="0" applyFont="1" applyFill="1" applyBorder="1" applyAlignment="1">
      <alignment horizontal="left" vertical="center" wrapText="1"/>
    </xf>
    <xf numFmtId="0" fontId="11" fillId="22" borderId="99" xfId="0" applyFont="1" applyFill="1" applyBorder="1" applyAlignment="1">
      <alignment horizontal="center" vertical="center" wrapText="1"/>
    </xf>
    <xf numFmtId="0" fontId="11" fillId="28" borderId="99" xfId="0" applyFont="1" applyFill="1" applyBorder="1" applyAlignment="1">
      <alignment horizontal="center" vertical="center"/>
    </xf>
    <xf numFmtId="0" fontId="10" fillId="0" borderId="99" xfId="5" applyNumberFormat="1" applyFont="1" applyFill="1" applyBorder="1" applyAlignment="1">
      <alignment vertical="top" wrapText="1"/>
    </xf>
    <xf numFmtId="0" fontId="10" fillId="0" borderId="99" xfId="0" applyFont="1" applyBorder="1" applyAlignment="1">
      <alignment vertical="center" wrapText="1"/>
    </xf>
    <xf numFmtId="0" fontId="11" fillId="19" borderId="99" xfId="0" applyFont="1" applyFill="1" applyBorder="1" applyAlignment="1">
      <alignment vertical="center" wrapText="1"/>
    </xf>
    <xf numFmtId="164" fontId="11" fillId="0" borderId="99" xfId="0" applyNumberFormat="1" applyFont="1" applyBorder="1" applyAlignment="1">
      <alignment horizontal="center" vertical="center"/>
    </xf>
    <xf numFmtId="0" fontId="69" fillId="29" borderId="99" xfId="0" applyFont="1" applyFill="1" applyBorder="1"/>
    <xf numFmtId="0" fontId="45" fillId="0" borderId="99" xfId="0" applyFont="1" applyBorder="1" applyAlignment="1">
      <alignment horizontal="center"/>
    </xf>
    <xf numFmtId="0" fontId="11" fillId="0" borderId="99" xfId="0" applyFont="1" applyBorder="1" applyAlignment="1">
      <alignment horizontal="center"/>
    </xf>
    <xf numFmtId="2" fontId="55" fillId="20" borderId="99" xfId="0" applyNumberFormat="1" applyFont="1" applyFill="1" applyBorder="1" applyAlignment="1">
      <alignment horizontal="center" vertical="center" wrapText="1"/>
    </xf>
    <xf numFmtId="49" fontId="55" fillId="20" borderId="99" xfId="0" applyNumberFormat="1" applyFont="1" applyFill="1" applyBorder="1" applyAlignment="1">
      <alignment horizontal="center" vertical="center" wrapText="1"/>
    </xf>
    <xf numFmtId="2" fontId="3" fillId="0" borderId="99" xfId="0" applyNumberFormat="1" applyFont="1" applyFill="1" applyBorder="1" applyAlignment="1">
      <alignment horizontal="center" vertical="center" wrapText="1"/>
    </xf>
    <xf numFmtId="49" fontId="3" fillId="0" borderId="99" xfId="0" applyNumberFormat="1" applyFont="1" applyFill="1" applyBorder="1" applyAlignment="1">
      <alignment horizontal="center" vertical="center" wrapText="1"/>
    </xf>
    <xf numFmtId="49" fontId="3" fillId="0" borderId="99" xfId="0" applyNumberFormat="1" applyFont="1" applyFill="1" applyBorder="1" applyAlignment="1">
      <alignment horizontal="left" vertical="center" wrapText="1"/>
    </xf>
    <xf numFmtId="49" fontId="3" fillId="0" borderId="99" xfId="0" applyNumberFormat="1" applyFont="1" applyFill="1" applyBorder="1" applyAlignment="1">
      <alignment horizontal="justify" vertical="top" wrapText="1"/>
    </xf>
    <xf numFmtId="49" fontId="56" fillId="0" borderId="99" xfId="1" applyNumberFormat="1" applyFont="1" applyFill="1" applyBorder="1" applyAlignment="1" applyProtection="1">
      <alignment horizontal="center" vertical="center" wrapText="1"/>
    </xf>
    <xf numFmtId="1" fontId="3" fillId="0" borderId="99" xfId="0" applyNumberFormat="1" applyFont="1" applyFill="1" applyBorder="1" applyAlignment="1">
      <alignment horizontal="center" vertical="center" wrapText="1"/>
    </xf>
    <xf numFmtId="49" fontId="58" fillId="21" borderId="99" xfId="0" applyNumberFormat="1" applyFont="1" applyFill="1" applyBorder="1" applyAlignment="1">
      <alignment horizontal="center" vertical="center" wrapText="1"/>
    </xf>
    <xf numFmtId="49" fontId="58" fillId="0" borderId="99" xfId="0" applyNumberFormat="1" applyFont="1" applyFill="1" applyBorder="1" applyAlignment="1">
      <alignment horizontal="left" vertical="center" wrapText="1"/>
    </xf>
    <xf numFmtId="49" fontId="58" fillId="21" borderId="99" xfId="0" applyNumberFormat="1" applyFont="1" applyFill="1" applyBorder="1" applyAlignment="1">
      <alignment horizontal="left" vertical="center" wrapText="1"/>
    </xf>
    <xf numFmtId="0" fontId="58" fillId="0" borderId="99" xfId="0" applyFont="1" applyBorder="1" applyAlignment="1">
      <alignment horizontal="justify" vertical="top" wrapText="1"/>
    </xf>
    <xf numFmtId="49" fontId="56" fillId="21" borderId="99" xfId="1" applyNumberFormat="1" applyFont="1" applyFill="1" applyBorder="1" applyAlignment="1" applyProtection="1">
      <alignment horizontal="center" vertical="center" wrapText="1"/>
    </xf>
    <xf numFmtId="49" fontId="56" fillId="21" borderId="84" xfId="1" applyNumberFormat="1" applyFont="1" applyFill="1" applyBorder="1" applyAlignment="1" applyProtection="1">
      <alignment horizontal="center" vertical="center" wrapText="1"/>
    </xf>
    <xf numFmtId="0" fontId="58" fillId="0" borderId="99" xfId="0" applyNumberFormat="1" applyFont="1" applyFill="1" applyBorder="1" applyAlignment="1">
      <alignment horizontal="left" vertical="center" wrapText="1"/>
    </xf>
    <xf numFmtId="0" fontId="58" fillId="0" borderId="99" xfId="0" applyNumberFormat="1" applyFont="1" applyBorder="1" applyAlignment="1">
      <alignment horizontal="left" vertical="center" wrapText="1"/>
    </xf>
    <xf numFmtId="0" fontId="58" fillId="0" borderId="99" xfId="0" applyNumberFormat="1" applyFont="1" applyBorder="1" applyAlignment="1">
      <alignment horizontal="justify" vertical="top" wrapText="1"/>
    </xf>
    <xf numFmtId="0" fontId="56" fillId="0" borderId="99" xfId="1" applyNumberFormat="1" applyFont="1" applyBorder="1" applyAlignment="1" applyProtection="1">
      <alignment horizontal="center" vertical="center" wrapText="1"/>
    </xf>
    <xf numFmtId="0" fontId="58" fillId="0" borderId="99" xfId="0" applyFont="1" applyFill="1" applyBorder="1" applyAlignment="1">
      <alignment horizontal="left" vertical="center" wrapText="1"/>
    </xf>
    <xf numFmtId="0" fontId="58" fillId="0" borderId="99" xfId="0" applyFont="1" applyBorder="1" applyAlignment="1">
      <alignment horizontal="left" vertical="center" wrapText="1"/>
    </xf>
    <xf numFmtId="0" fontId="58" fillId="0" borderId="99" xfId="0" applyFont="1" applyBorder="1" applyAlignment="1">
      <alignment horizontal="center" vertical="center" wrapText="1"/>
    </xf>
    <xf numFmtId="0" fontId="56" fillId="0" borderId="99" xfId="1" applyFont="1" applyBorder="1" applyAlignment="1" applyProtection="1">
      <alignment horizontal="center" vertical="center" wrapText="1"/>
    </xf>
    <xf numFmtId="0" fontId="58" fillId="0" borderId="99" xfId="0" applyNumberFormat="1" applyFont="1" applyBorder="1" applyAlignment="1">
      <alignment horizontal="center" vertical="center" wrapText="1"/>
    </xf>
    <xf numFmtId="15" fontId="58" fillId="0" borderId="99" xfId="0" applyNumberFormat="1" applyFont="1" applyBorder="1" applyAlignment="1">
      <alignment horizontal="center" vertical="center" wrapText="1"/>
    </xf>
    <xf numFmtId="15" fontId="58" fillId="0" borderId="99" xfId="0" applyNumberFormat="1" applyFont="1" applyBorder="1" applyAlignment="1">
      <alignment horizontal="left" vertical="center" wrapText="1"/>
    </xf>
    <xf numFmtId="0" fontId="59" fillId="0" borderId="99" xfId="0" applyNumberFormat="1" applyFont="1" applyBorder="1" applyAlignment="1">
      <alignment horizontal="left" vertical="center" wrapText="1"/>
    </xf>
    <xf numFmtId="0" fontId="61" fillId="0" borderId="84" xfId="1" applyNumberFormat="1" applyFont="1" applyBorder="1" applyAlignment="1" applyProtection="1">
      <alignment horizontal="left" vertical="center" wrapText="1"/>
    </xf>
    <xf numFmtId="15" fontId="3" fillId="0" borderId="99" xfId="0" applyNumberFormat="1" applyFont="1" applyBorder="1" applyAlignment="1">
      <alignment horizontal="left" vertical="center" wrapText="1"/>
    </xf>
    <xf numFmtId="0" fontId="3" fillId="0" borderId="99" xfId="0" applyNumberFormat="1" applyFont="1" applyFill="1" applyBorder="1" applyAlignment="1">
      <alignment horizontal="left" vertical="center" wrapText="1"/>
    </xf>
    <xf numFmtId="0" fontId="3" fillId="0" borderId="99" xfId="0" applyNumberFormat="1" applyFont="1" applyBorder="1" applyAlignment="1">
      <alignment horizontal="left" vertical="center" wrapText="1"/>
    </xf>
    <xf numFmtId="0" fontId="60" fillId="0" borderId="99" xfId="0" applyNumberFormat="1" applyFont="1" applyBorder="1" applyAlignment="1">
      <alignment horizontal="left" vertical="center" wrapText="1"/>
    </xf>
    <xf numFmtId="0" fontId="56" fillId="0" borderId="99" xfId="1" applyNumberFormat="1" applyFont="1" applyBorder="1" applyAlignment="1" applyProtection="1">
      <alignment horizontal="left" vertical="center" wrapText="1"/>
    </xf>
    <xf numFmtId="0" fontId="10" fillId="15" borderId="95" xfId="0" applyFont="1" applyFill="1" applyBorder="1" applyAlignment="1" applyProtection="1">
      <alignment vertical="center" wrapText="1"/>
    </xf>
    <xf numFmtId="43" fontId="10" fillId="15" borderId="70" xfId="5" applyFont="1" applyFill="1" applyBorder="1" applyAlignment="1" applyProtection="1">
      <alignment vertical="center" wrapText="1"/>
    </xf>
    <xf numFmtId="10" fontId="10" fillId="0" borderId="99" xfId="0" applyNumberFormat="1" applyFont="1" applyFill="1" applyBorder="1" applyAlignment="1">
      <alignment horizontal="left" vertical="center" wrapText="1"/>
    </xf>
    <xf numFmtId="9" fontId="10" fillId="15" borderId="70" xfId="6" applyFont="1" applyFill="1" applyBorder="1" applyAlignment="1" applyProtection="1">
      <alignment horizontal="center" vertical="center" wrapText="1"/>
    </xf>
    <xf numFmtId="43" fontId="10" fillId="15" borderId="95" xfId="5" applyFont="1" applyFill="1" applyBorder="1" applyAlignment="1" applyProtection="1">
      <alignment vertical="center" wrapText="1"/>
    </xf>
    <xf numFmtId="10" fontId="10" fillId="0" borderId="99" xfId="0" applyNumberFormat="1" applyFont="1" applyFill="1" applyBorder="1" applyAlignment="1">
      <alignment horizontal="left" vertical="center"/>
    </xf>
    <xf numFmtId="0" fontId="16" fillId="18" borderId="37" xfId="0" applyFont="1" applyFill="1" applyBorder="1" applyAlignment="1" applyProtection="1">
      <alignment vertical="top" wrapText="1"/>
    </xf>
    <xf numFmtId="43" fontId="21" fillId="18" borderId="37" xfId="5" applyFont="1" applyFill="1" applyBorder="1" applyAlignment="1" applyProtection="1">
      <alignment vertical="top" wrapText="1"/>
    </xf>
    <xf numFmtId="0" fontId="16" fillId="18" borderId="37" xfId="5" applyNumberFormat="1" applyFont="1" applyFill="1" applyBorder="1" applyAlignment="1" applyProtection="1">
      <alignment vertical="top" wrapText="1"/>
    </xf>
    <xf numFmtId="9" fontId="16" fillId="18" borderId="37" xfId="6" applyFont="1" applyFill="1" applyBorder="1" applyAlignment="1" applyProtection="1">
      <alignment horizontal="center" vertical="center" wrapText="1"/>
    </xf>
    <xf numFmtId="0" fontId="10" fillId="0" borderId="67" xfId="0" applyFont="1" applyFill="1" applyBorder="1" applyAlignment="1" applyProtection="1">
      <alignment horizontal="justify" vertical="top" wrapText="1"/>
    </xf>
    <xf numFmtId="0" fontId="10" fillId="0" borderId="41" xfId="0" applyFont="1" applyFill="1" applyBorder="1" applyAlignment="1" applyProtection="1">
      <alignment horizontal="justify" vertical="top" wrapText="1"/>
    </xf>
    <xf numFmtId="0" fontId="10" fillId="0" borderId="41" xfId="0" applyFont="1" applyFill="1" applyBorder="1" applyAlignment="1" applyProtection="1">
      <alignment horizontal="justify" vertical="center" wrapText="1"/>
    </xf>
    <xf numFmtId="0" fontId="10" fillId="2" borderId="1" xfId="0" applyFont="1" applyFill="1" applyBorder="1" applyAlignment="1" applyProtection="1">
      <alignment horizontal="left" vertical="top" wrapText="1"/>
      <protection locked="0"/>
    </xf>
    <xf numFmtId="1" fontId="10" fillId="2" borderId="1" xfId="0" applyNumberFormat="1" applyFont="1" applyFill="1" applyBorder="1" applyAlignment="1" applyProtection="1">
      <alignment horizontal="left" wrapText="1"/>
      <protection locked="0"/>
    </xf>
    <xf numFmtId="0" fontId="10" fillId="0" borderId="26" xfId="8" applyFont="1" applyFill="1" applyBorder="1" applyAlignment="1" applyProtection="1">
      <alignment horizontal="justify" vertical="top" wrapText="1"/>
    </xf>
    <xf numFmtId="0" fontId="10" fillId="0" borderId="26" xfId="0" applyFont="1" applyFill="1" applyBorder="1" applyAlignment="1" applyProtection="1">
      <alignment horizontal="justify" vertical="top" wrapText="1"/>
    </xf>
    <xf numFmtId="0" fontId="76" fillId="0" borderId="0" xfId="0" applyFont="1"/>
    <xf numFmtId="0" fontId="10" fillId="0" borderId="84" xfId="0" applyFont="1" applyFill="1" applyBorder="1" applyAlignment="1" applyProtection="1">
      <alignment horizontal="justify" vertical="top" wrapText="1"/>
    </xf>
    <xf numFmtId="0" fontId="10" fillId="0" borderId="90" xfId="8" applyFont="1" applyFill="1" applyBorder="1" applyAlignment="1" applyProtection="1">
      <alignment horizontal="justify" vertical="top" wrapText="1"/>
    </xf>
    <xf numFmtId="0" fontId="10" fillId="0" borderId="1" xfId="0" applyFont="1" applyFill="1" applyBorder="1" applyAlignment="1" applyProtection="1">
      <alignment horizontal="center" vertical="center" wrapText="1"/>
    </xf>
    <xf numFmtId="0" fontId="58" fillId="0" borderId="99" xfId="0" applyFont="1" applyBorder="1" applyAlignment="1">
      <alignment horizontal="justify" vertical="center"/>
    </xf>
    <xf numFmtId="0" fontId="0" fillId="0" borderId="99" xfId="0" applyBorder="1" applyAlignment="1">
      <alignment horizontal="justify" vertical="center"/>
    </xf>
    <xf numFmtId="0" fontId="3" fillId="0" borderId="99" xfId="0" applyNumberFormat="1" applyFont="1" applyBorder="1" applyAlignment="1">
      <alignment horizontal="center" vertical="center" wrapText="1"/>
    </xf>
    <xf numFmtId="0" fontId="10" fillId="0" borderId="1" xfId="0" applyFont="1" applyFill="1" applyBorder="1" applyAlignment="1" applyProtection="1">
      <alignment horizontal="justify" vertical="top" wrapText="1"/>
    </xf>
    <xf numFmtId="0" fontId="10" fillId="0" borderId="7" xfId="0" applyFont="1" applyFill="1" applyBorder="1" applyAlignment="1" applyProtection="1">
      <alignment horizontal="justify" vertical="top" wrapText="1"/>
    </xf>
    <xf numFmtId="0" fontId="71" fillId="15" borderId="7" xfId="0" applyFont="1" applyFill="1" applyBorder="1" applyAlignment="1" applyProtection="1">
      <alignment horizontal="center" vertical="center" wrapText="1"/>
    </xf>
    <xf numFmtId="0" fontId="71" fillId="15" borderId="19" xfId="0" applyFont="1" applyFill="1" applyBorder="1" applyAlignment="1" applyProtection="1">
      <alignment horizontal="center" vertical="center" wrapText="1"/>
    </xf>
    <xf numFmtId="0" fontId="71" fillId="2" borderId="43" xfId="0" applyFont="1" applyFill="1" applyBorder="1" applyAlignment="1" applyProtection="1">
      <alignment horizontal="center" vertical="center" wrapText="1"/>
    </xf>
    <xf numFmtId="0" fontId="21" fillId="16" borderId="68" xfId="0" applyFont="1" applyFill="1" applyBorder="1" applyAlignment="1" applyProtection="1">
      <alignment horizontal="center" vertical="center" wrapText="1"/>
    </xf>
    <xf numFmtId="0" fontId="2" fillId="3" borderId="1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4" xfId="0" applyFont="1" applyFill="1" applyBorder="1" applyAlignment="1" applyProtection="1">
      <alignment horizontal="right" wrapText="1"/>
    </xf>
    <xf numFmtId="0" fontId="2" fillId="3" borderId="13" xfId="0" applyFont="1" applyFill="1" applyBorder="1" applyAlignment="1" applyProtection="1">
      <alignment horizontal="right" vertical="top" wrapText="1"/>
    </xf>
    <xf numFmtId="0" fontId="2" fillId="3" borderId="14" xfId="0" applyFont="1" applyFill="1" applyBorder="1" applyAlignment="1" applyProtection="1">
      <alignment horizontal="right" vertical="top" wrapText="1"/>
    </xf>
    <xf numFmtId="0" fontId="10" fillId="2" borderId="7" xfId="0" applyFont="1" applyFill="1" applyBorder="1" applyAlignment="1" applyProtection="1">
      <alignment horizontal="center" vertical="center"/>
    </xf>
    <xf numFmtId="0" fontId="10" fillId="2" borderId="70"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3" borderId="16"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8"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43" fontId="1" fillId="2" borderId="26" xfId="5" applyFont="1" applyFill="1" applyBorder="1" applyAlignment="1" applyProtection="1">
      <alignment vertical="top" wrapText="1"/>
      <protection locked="0"/>
    </xf>
    <xf numFmtId="43" fontId="1" fillId="2" borderId="20" xfId="5"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1" fillId="2" borderId="20" xfId="0" applyFont="1" applyFill="1" applyBorder="1" applyAlignment="1" applyProtection="1">
      <alignment vertical="top" wrapText="1"/>
      <protection locked="0"/>
    </xf>
    <xf numFmtId="0" fontId="2" fillId="2" borderId="26" xfId="0" applyFont="1" applyFill="1" applyBorder="1" applyAlignment="1" applyProtection="1">
      <alignment horizontal="center" vertical="top" wrapText="1"/>
    </xf>
    <xf numFmtId="0" fontId="2" fillId="2" borderId="20" xfId="0" applyFont="1" applyFill="1" applyBorder="1" applyAlignment="1" applyProtection="1">
      <alignment horizontal="center" vertical="top" wrapText="1"/>
    </xf>
    <xf numFmtId="0" fontId="11" fillId="2" borderId="26"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20" xfId="0" applyFont="1" applyFill="1" applyBorder="1" applyAlignment="1" applyProtection="1">
      <alignment horizontal="center"/>
    </xf>
    <xf numFmtId="0" fontId="7" fillId="3" borderId="13"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2" fillId="2" borderId="26" xfId="0" applyNumberFormat="1" applyFont="1" applyFill="1" applyBorder="1" applyAlignment="1" applyProtection="1">
      <alignment horizontal="right" vertical="center" wrapText="1"/>
      <protection locked="0"/>
    </xf>
    <xf numFmtId="3" fontId="2" fillId="2" borderId="20" xfId="0" applyNumberFormat="1" applyFont="1" applyFill="1" applyBorder="1" applyAlignment="1" applyProtection="1">
      <alignment horizontal="right" vertical="center" wrapText="1"/>
      <protection locked="0"/>
    </xf>
    <xf numFmtId="0" fontId="1" fillId="2" borderId="26"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43" fontId="1" fillId="2" borderId="26" xfId="5" applyFont="1" applyFill="1" applyBorder="1" applyAlignment="1" applyProtection="1">
      <alignment horizontal="center" vertical="top" wrapText="1"/>
      <protection locked="0"/>
    </xf>
    <xf numFmtId="43" fontId="1" fillId="2" borderId="20" xfId="5"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43" fontId="11" fillId="2" borderId="26" xfId="5" applyNumberFormat="1" applyFont="1" applyFill="1" applyBorder="1" applyAlignment="1" applyProtection="1">
      <alignment horizontal="center" vertical="center" wrapText="1"/>
      <protection locked="0"/>
    </xf>
    <xf numFmtId="43" fontId="11" fillId="2" borderId="20" xfId="5" applyNumberFormat="1"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top" wrapText="1"/>
    </xf>
    <xf numFmtId="0" fontId="10" fillId="2" borderId="26"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43" fontId="20" fillId="0" borderId="26" xfId="5" applyFont="1" applyBorder="1" applyAlignment="1" applyProtection="1">
      <alignment vertical="center"/>
      <protection locked="0"/>
    </xf>
    <xf numFmtId="43" fontId="20" fillId="0" borderId="20" xfId="5" applyFont="1" applyBorder="1" applyAlignment="1" applyProtection="1">
      <alignment vertical="center"/>
      <protection locked="0"/>
    </xf>
    <xf numFmtId="0" fontId="8" fillId="17" borderId="11" xfId="0" applyFont="1" applyFill="1" applyBorder="1" applyAlignment="1" applyProtection="1">
      <alignment horizontal="left" vertical="top" wrapText="1"/>
    </xf>
    <xf numFmtId="0" fontId="8" fillId="17"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center" wrapText="1"/>
    </xf>
    <xf numFmtId="0" fontId="10" fillId="3" borderId="13"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1" fillId="3" borderId="0" xfId="0" applyFont="1" applyFill="1" applyBorder="1" applyAlignment="1" applyProtection="1">
      <alignment horizontal="left"/>
    </xf>
    <xf numFmtId="0" fontId="11" fillId="3" borderId="14" xfId="0" applyFont="1" applyFill="1" applyBorder="1" applyAlignment="1" applyProtection="1">
      <alignment horizontal="left"/>
    </xf>
    <xf numFmtId="0" fontId="10" fillId="2" borderId="7" xfId="0" applyFont="1" applyFill="1" applyBorder="1" applyAlignment="1" applyProtection="1">
      <alignment horizontal="left" vertical="top" wrapText="1"/>
    </xf>
    <xf numFmtId="0" fontId="10" fillId="2" borderId="18" xfId="0" applyFont="1" applyFill="1" applyBorder="1" applyAlignment="1" applyProtection="1">
      <alignment horizontal="left" vertical="top" wrapText="1"/>
    </xf>
    <xf numFmtId="0" fontId="10" fillId="2" borderId="19" xfId="0" applyFont="1" applyFill="1" applyBorder="1" applyAlignment="1" applyProtection="1">
      <alignment horizontal="left" vertical="top" wrapText="1"/>
    </xf>
    <xf numFmtId="43" fontId="10" fillId="2" borderId="64" xfId="5" applyFont="1" applyFill="1" applyBorder="1" applyAlignment="1" applyProtection="1">
      <alignment horizontal="center" vertical="center" wrapText="1"/>
    </xf>
    <xf numFmtId="43" fontId="10" fillId="2" borderId="31" xfId="5" applyFont="1" applyFill="1" applyBorder="1" applyAlignment="1" applyProtection="1">
      <alignment horizontal="center" vertical="center" wrapText="1"/>
    </xf>
    <xf numFmtId="43" fontId="10" fillId="2" borderId="63" xfId="5" applyFont="1" applyFill="1" applyBorder="1" applyAlignment="1" applyProtection="1">
      <alignment horizontal="center" vertical="center" wrapText="1"/>
    </xf>
    <xf numFmtId="0" fontId="10" fillId="2" borderId="24" xfId="0" applyFont="1" applyFill="1" applyBorder="1" applyAlignment="1" applyProtection="1">
      <alignment horizontal="left" vertical="top" wrapText="1"/>
    </xf>
    <xf numFmtId="0" fontId="10" fillId="2" borderId="43" xfId="0" applyFont="1" applyFill="1" applyBorder="1" applyAlignment="1" applyProtection="1">
      <alignment horizontal="left" vertical="top" wrapText="1"/>
    </xf>
    <xf numFmtId="0" fontId="10" fillId="2" borderId="62"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2" borderId="18" xfId="0" applyFont="1" applyFill="1" applyBorder="1" applyAlignment="1" applyProtection="1">
      <alignment horizontal="left" vertical="top" wrapText="1"/>
    </xf>
    <xf numFmtId="0" fontId="16" fillId="2" borderId="19" xfId="0" applyFont="1" applyFill="1" applyBorder="1" applyAlignment="1" applyProtection="1">
      <alignment horizontal="left" vertical="top" wrapText="1"/>
    </xf>
    <xf numFmtId="164" fontId="10" fillId="2" borderId="23" xfId="11" applyFont="1" applyFill="1" applyBorder="1" applyAlignment="1" applyProtection="1">
      <alignment horizontal="center" vertical="center" wrapText="1"/>
    </xf>
    <xf numFmtId="164" fontId="10" fillId="2" borderId="42" xfId="11" applyFont="1" applyFill="1" applyBorder="1" applyAlignment="1" applyProtection="1">
      <alignment horizontal="center" vertical="center" wrapText="1"/>
    </xf>
    <xf numFmtId="164" fontId="10" fillId="2" borderId="66" xfId="11" applyFont="1" applyFill="1" applyBorder="1" applyAlignment="1" applyProtection="1">
      <alignment horizontal="center" vertical="center" wrapText="1"/>
    </xf>
    <xf numFmtId="0" fontId="16" fillId="2" borderId="24" xfId="0" applyFont="1" applyFill="1" applyBorder="1" applyAlignment="1" applyProtection="1">
      <alignment horizontal="left" vertical="center" wrapText="1"/>
    </xf>
    <xf numFmtId="0" fontId="16" fillId="2" borderId="43" xfId="0" applyFont="1" applyFill="1" applyBorder="1" applyAlignment="1" applyProtection="1">
      <alignment horizontal="left" vertical="center" wrapText="1"/>
    </xf>
    <xf numFmtId="0" fontId="16" fillId="2" borderId="62"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43" fontId="10" fillId="2" borderId="59" xfId="5" applyFont="1" applyFill="1" applyBorder="1" applyAlignment="1" applyProtection="1">
      <alignment horizontal="center" vertical="center" wrapText="1"/>
    </xf>
    <xf numFmtId="43" fontId="10" fillId="2" borderId="61" xfId="5" applyFont="1" applyFill="1" applyBorder="1" applyAlignment="1" applyProtection="1">
      <alignment horizontal="center" vertical="center" wrapText="1"/>
    </xf>
    <xf numFmtId="0" fontId="10" fillId="2" borderId="24" xfId="0" applyFont="1" applyFill="1" applyBorder="1" applyAlignment="1" applyProtection="1">
      <alignment horizontal="left" vertical="center" wrapText="1"/>
    </xf>
    <xf numFmtId="0" fontId="10" fillId="2" borderId="62"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43" xfId="0" applyFont="1" applyFill="1" applyBorder="1" applyAlignment="1" applyProtection="1">
      <alignment horizontal="left" vertical="center" wrapText="1"/>
    </xf>
    <xf numFmtId="0" fontId="16" fillId="2" borderId="7" xfId="0" applyFont="1" applyFill="1" applyBorder="1" applyAlignment="1" applyProtection="1">
      <alignment horizontal="left" vertical="center" wrapText="1"/>
    </xf>
    <xf numFmtId="0" fontId="16" fillId="2" borderId="18" xfId="0" applyFont="1" applyFill="1" applyBorder="1" applyAlignment="1" applyProtection="1">
      <alignment horizontal="left" vertical="center" wrapText="1"/>
    </xf>
    <xf numFmtId="0" fontId="16" fillId="2" borderId="19" xfId="0" applyFont="1" applyFill="1" applyBorder="1" applyAlignment="1" applyProtection="1">
      <alignment horizontal="left" vertical="center" wrapText="1"/>
    </xf>
    <xf numFmtId="164" fontId="16" fillId="2" borderId="7" xfId="11" applyFont="1" applyFill="1" applyBorder="1" applyAlignment="1" applyProtection="1">
      <alignment horizontal="center" vertical="center" wrapText="1"/>
    </xf>
    <xf numFmtId="164" fontId="16" fillId="2" borderId="18" xfId="11" applyFont="1" applyFill="1" applyBorder="1" applyAlignment="1" applyProtection="1">
      <alignment horizontal="center" vertical="center" wrapText="1"/>
    </xf>
    <xf numFmtId="164" fontId="16" fillId="2" borderId="19" xfId="11" applyFont="1" applyFill="1" applyBorder="1" applyAlignment="1" applyProtection="1">
      <alignment horizontal="center" vertical="center" wrapText="1"/>
    </xf>
    <xf numFmtId="0" fontId="66" fillId="16" borderId="18" xfId="0" applyFont="1" applyFill="1" applyBorder="1" applyAlignment="1" applyProtection="1">
      <alignment horizontal="left" vertical="center" wrapText="1"/>
    </xf>
    <xf numFmtId="164" fontId="10" fillId="2" borderId="7" xfId="11" applyFont="1" applyFill="1" applyBorder="1" applyAlignment="1" applyProtection="1">
      <alignment horizontal="center" vertical="center" wrapText="1"/>
    </xf>
    <xf numFmtId="164" fontId="10" fillId="2" borderId="18" xfId="11" applyFont="1" applyFill="1" applyBorder="1" applyAlignment="1" applyProtection="1">
      <alignment horizontal="center" vertical="center" wrapText="1"/>
    </xf>
    <xf numFmtId="164" fontId="10" fillId="2" borderId="19" xfId="11" applyFont="1" applyFill="1" applyBorder="1" applyAlignment="1" applyProtection="1">
      <alignment horizontal="center" vertical="center" wrapText="1"/>
    </xf>
    <xf numFmtId="0" fontId="16" fillId="2" borderId="30" xfId="0" applyFont="1" applyFill="1" applyBorder="1" applyAlignment="1" applyProtection="1">
      <alignment horizontal="left" vertical="center" wrapText="1"/>
    </xf>
    <xf numFmtId="0" fontId="16" fillId="2" borderId="61" xfId="0" applyFont="1" applyFill="1" applyBorder="1" applyAlignment="1" applyProtection="1">
      <alignment horizontal="left" vertical="center" wrapText="1"/>
    </xf>
    <xf numFmtId="164" fontId="16" fillId="2" borderId="64" xfId="11" applyFont="1" applyFill="1" applyBorder="1" applyAlignment="1" applyProtection="1">
      <alignment horizontal="center" vertical="center" wrapText="1"/>
    </xf>
    <xf numFmtId="164" fontId="16" fillId="2" borderId="31" xfId="11" applyFont="1" applyFill="1" applyBorder="1" applyAlignment="1" applyProtection="1">
      <alignment horizontal="center" vertical="center" wrapText="1"/>
    </xf>
    <xf numFmtId="0" fontId="16" fillId="2" borderId="59" xfId="0" applyFont="1" applyFill="1" applyBorder="1" applyAlignment="1" applyProtection="1">
      <alignment horizontal="left" vertical="center" wrapText="1"/>
    </xf>
    <xf numFmtId="0" fontId="10" fillId="2" borderId="7" xfId="0" applyFont="1" applyFill="1" applyBorder="1" applyAlignment="1" applyProtection="1">
      <alignment horizontal="center" vertical="top" wrapText="1"/>
    </xf>
    <xf numFmtId="0" fontId="10" fillId="2" borderId="18" xfId="0" applyFont="1" applyFill="1" applyBorder="1" applyAlignment="1" applyProtection="1">
      <alignment horizontal="center" vertical="top" wrapText="1"/>
    </xf>
    <xf numFmtId="0" fontId="10" fillId="2" borderId="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164" fontId="10" fillId="2" borderId="6" xfId="11" applyFont="1" applyFill="1" applyBorder="1" applyAlignment="1" applyProtection="1">
      <alignment horizontal="center" vertical="center" wrapText="1"/>
    </xf>
    <xf numFmtId="164" fontId="10" fillId="2" borderId="41" xfId="11" applyFont="1" applyFill="1" applyBorder="1" applyAlignment="1" applyProtection="1">
      <alignment horizontal="center" vertical="center" wrapText="1"/>
    </xf>
    <xf numFmtId="164" fontId="10" fillId="2" borderId="38" xfId="11"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40" xfId="0" applyFont="1" applyFill="1" applyBorder="1" applyAlignment="1" applyProtection="1">
      <alignment horizontal="center" vertical="center" wrapText="1"/>
    </xf>
    <xf numFmtId="0" fontId="10" fillId="2" borderId="65" xfId="0" applyFont="1" applyFill="1" applyBorder="1" applyAlignment="1" applyProtection="1">
      <alignment horizontal="center" vertical="center" wrapText="1"/>
    </xf>
    <xf numFmtId="0" fontId="66" fillId="16" borderId="2" xfId="0" applyFont="1" applyFill="1" applyBorder="1" applyAlignment="1" applyProtection="1">
      <alignment horizontal="left" vertical="center" wrapText="1"/>
    </xf>
    <xf numFmtId="0" fontId="66" fillId="16" borderId="67" xfId="0" applyFont="1" applyFill="1" applyBorder="1" applyAlignment="1" applyProtection="1">
      <alignment horizontal="left" vertical="center" wrapText="1"/>
    </xf>
    <xf numFmtId="0" fontId="66" fillId="16" borderId="37" xfId="0" applyFont="1" applyFill="1" applyBorder="1" applyAlignment="1" applyProtection="1">
      <alignment horizontal="left" vertical="center" wrapText="1"/>
    </xf>
    <xf numFmtId="43" fontId="66" fillId="16" borderId="2" xfId="5" applyFont="1" applyFill="1" applyBorder="1" applyAlignment="1" applyProtection="1">
      <alignment horizontal="center" vertical="center" wrapText="1"/>
    </xf>
    <xf numFmtId="43" fontId="66" fillId="16" borderId="67" xfId="5" applyFont="1" applyFill="1" applyBorder="1" applyAlignment="1" applyProtection="1">
      <alignment horizontal="center" vertical="center" wrapText="1"/>
    </xf>
    <xf numFmtId="43" fontId="66" fillId="16" borderId="68" xfId="5" applyFont="1" applyFill="1" applyBorder="1" applyAlignment="1" applyProtection="1">
      <alignment horizontal="center" vertical="center" wrapText="1"/>
    </xf>
    <xf numFmtId="0" fontId="66" fillId="16" borderId="68" xfId="0" applyFont="1" applyFill="1" applyBorder="1" applyAlignment="1" applyProtection="1">
      <alignment horizontal="left" vertical="center" wrapText="1"/>
    </xf>
    <xf numFmtId="0" fontId="10" fillId="2" borderId="19" xfId="0" applyFont="1" applyFill="1" applyBorder="1" applyAlignment="1" applyProtection="1">
      <alignment horizontal="center" vertical="top" wrapText="1"/>
    </xf>
    <xf numFmtId="0" fontId="10" fillId="2" borderId="23" xfId="0" applyFont="1" applyFill="1" applyBorder="1" applyAlignment="1" applyProtection="1">
      <alignment horizontal="center" vertical="center" wrapText="1"/>
    </xf>
    <xf numFmtId="0" fontId="10" fillId="2" borderId="42" xfId="0" applyFont="1" applyFill="1" applyBorder="1" applyAlignment="1" applyProtection="1">
      <alignment horizontal="center" vertical="center" wrapText="1"/>
    </xf>
    <xf numFmtId="0" fontId="10" fillId="2" borderId="66" xfId="0" applyFont="1" applyFill="1" applyBorder="1" applyAlignment="1" applyProtection="1">
      <alignment horizontal="center" vertical="center" wrapText="1"/>
    </xf>
    <xf numFmtId="164" fontId="10" fillId="2" borderId="24" xfId="11" applyFont="1" applyFill="1" applyBorder="1" applyAlignment="1" applyProtection="1">
      <alignment horizontal="center" vertical="center" wrapText="1"/>
    </xf>
    <xf numFmtId="164" fontId="10" fillId="2" borderId="43" xfId="11" applyFont="1" applyFill="1" applyBorder="1" applyAlignment="1" applyProtection="1">
      <alignment horizontal="center" vertical="center" wrapText="1"/>
    </xf>
    <xf numFmtId="164" fontId="10" fillId="2" borderId="62" xfId="11" applyFont="1" applyFill="1" applyBorder="1" applyAlignment="1" applyProtection="1">
      <alignment horizontal="center" vertical="center" wrapText="1"/>
    </xf>
    <xf numFmtId="0" fontId="71" fillId="15" borderId="7" xfId="0" applyFont="1" applyFill="1" applyBorder="1" applyAlignment="1" applyProtection="1">
      <alignment horizontal="center" vertical="center" wrapText="1"/>
    </xf>
    <xf numFmtId="0" fontId="71" fillId="15" borderId="18" xfId="0" applyFont="1" applyFill="1" applyBorder="1" applyAlignment="1" applyProtection="1">
      <alignment horizontal="center" vertical="center" wrapText="1"/>
    </xf>
    <xf numFmtId="0" fontId="71" fillId="15" borderId="19" xfId="0" applyFont="1" applyFill="1" applyBorder="1" applyAlignment="1" applyProtection="1">
      <alignment horizontal="center" vertical="center" wrapText="1"/>
    </xf>
    <xf numFmtId="0" fontId="71" fillId="2" borderId="24" xfId="0" applyFont="1" applyFill="1" applyBorder="1" applyAlignment="1" applyProtection="1">
      <alignment horizontal="center" vertical="center" wrapText="1"/>
    </xf>
    <xf numFmtId="0" fontId="71" fillId="2" borderId="43" xfId="0" applyFont="1" applyFill="1" applyBorder="1" applyAlignment="1" applyProtection="1">
      <alignment horizontal="center" vertical="center" wrapText="1"/>
    </xf>
    <xf numFmtId="0" fontId="71" fillId="2" borderId="62" xfId="0" applyFont="1" applyFill="1" applyBorder="1" applyAlignment="1" applyProtection="1">
      <alignment horizontal="center" vertical="center" wrapText="1"/>
    </xf>
    <xf numFmtId="43" fontId="71" fillId="15" borderId="52" xfId="5" applyFont="1" applyFill="1" applyBorder="1" applyAlignment="1" applyProtection="1">
      <alignment horizontal="center" vertical="center" wrapText="1"/>
    </xf>
    <xf numFmtId="43" fontId="71" fillId="15" borderId="30" xfId="5" applyFont="1" applyFill="1" applyBorder="1" applyAlignment="1" applyProtection="1">
      <alignment horizontal="center" vertical="center" wrapText="1"/>
    </xf>
    <xf numFmtId="43" fontId="71" fillId="15" borderId="61" xfId="5" applyFont="1" applyFill="1" applyBorder="1" applyAlignment="1" applyProtection="1">
      <alignment horizontal="center" vertical="center" wrapText="1"/>
    </xf>
    <xf numFmtId="43" fontId="71" fillId="15" borderId="59" xfId="5" applyFont="1" applyFill="1" applyBorder="1" applyAlignment="1" applyProtection="1">
      <alignment horizontal="center" vertical="center" wrapText="1"/>
    </xf>
    <xf numFmtId="43" fontId="71" fillId="15" borderId="84" xfId="5" applyFont="1" applyFill="1" applyBorder="1" applyAlignment="1" applyProtection="1">
      <alignment horizontal="center" vertical="center" wrapText="1"/>
    </xf>
    <xf numFmtId="0" fontId="73" fillId="0" borderId="24" xfId="0" applyFont="1" applyBorder="1" applyAlignment="1">
      <alignment horizontal="center" vertical="center" wrapText="1"/>
    </xf>
    <xf numFmtId="0" fontId="73" fillId="0" borderId="43" xfId="0" applyFont="1" applyBorder="1" applyAlignment="1">
      <alignment horizontal="center" vertical="center" wrapText="1"/>
    </xf>
    <xf numFmtId="0" fontId="73" fillId="0" borderId="62" xfId="0" applyFont="1" applyBorder="1" applyAlignment="1">
      <alignment horizontal="center" vertical="center" wrapText="1"/>
    </xf>
    <xf numFmtId="0" fontId="71" fillId="18" borderId="7" xfId="0" applyFont="1" applyFill="1" applyBorder="1" applyAlignment="1" applyProtection="1">
      <alignment horizontal="center" vertical="center" wrapText="1"/>
    </xf>
    <xf numFmtId="0" fontId="71" fillId="18" borderId="18" xfId="0" applyFont="1" applyFill="1" applyBorder="1" applyAlignment="1" applyProtection="1">
      <alignment horizontal="center" vertical="center" wrapText="1"/>
    </xf>
    <xf numFmtId="0" fontId="71" fillId="18" borderId="19" xfId="0" applyFont="1" applyFill="1" applyBorder="1" applyAlignment="1" applyProtection="1">
      <alignment horizontal="center" vertical="center" wrapText="1"/>
    </xf>
    <xf numFmtId="43" fontId="71" fillId="18" borderId="59" xfId="5" applyFont="1" applyFill="1" applyBorder="1" applyAlignment="1" applyProtection="1">
      <alignment horizontal="center" vertical="center" wrapText="1"/>
    </xf>
    <xf numFmtId="43" fontId="71" fillId="18" borderId="30" xfId="5" applyFont="1" applyFill="1" applyBorder="1" applyAlignment="1" applyProtection="1">
      <alignment horizontal="center" vertical="center" wrapText="1"/>
    </xf>
    <xf numFmtId="43" fontId="71" fillId="18" borderId="61" xfId="5" applyFont="1" applyFill="1" applyBorder="1" applyAlignment="1" applyProtection="1">
      <alignment horizontal="center" vertical="center" wrapText="1"/>
    </xf>
    <xf numFmtId="0" fontId="71" fillId="2" borderId="24" xfId="0" applyFont="1" applyFill="1" applyBorder="1" applyAlignment="1" applyProtection="1">
      <alignment horizontal="left" vertical="top" wrapText="1"/>
    </xf>
    <xf numFmtId="0" fontId="71" fillId="2" borderId="43" xfId="0" applyFont="1" applyFill="1" applyBorder="1" applyAlignment="1" applyProtection="1">
      <alignment horizontal="left" vertical="top" wrapText="1"/>
    </xf>
    <xf numFmtId="0" fontId="71" fillId="2" borderId="62" xfId="0" applyFont="1" applyFill="1" applyBorder="1" applyAlignment="1" applyProtection="1">
      <alignment horizontal="left" vertical="top" wrapText="1"/>
    </xf>
    <xf numFmtId="43" fontId="71" fillId="2" borderId="59" xfId="0" applyNumberFormat="1" applyFont="1" applyFill="1" applyBorder="1" applyAlignment="1" applyProtection="1">
      <alignment horizontal="center" vertical="center" wrapText="1"/>
    </xf>
    <xf numFmtId="43" fontId="71" fillId="2" borderId="30" xfId="0" applyNumberFormat="1" applyFont="1" applyFill="1" applyBorder="1" applyAlignment="1" applyProtection="1">
      <alignment horizontal="center" vertical="center" wrapText="1"/>
    </xf>
    <xf numFmtId="43" fontId="71" fillId="2" borderId="61" xfId="0" applyNumberFormat="1" applyFont="1" applyFill="1" applyBorder="1" applyAlignment="1" applyProtection="1">
      <alignment horizontal="center" vertical="center" wrapText="1"/>
    </xf>
    <xf numFmtId="0" fontId="71" fillId="2" borderId="5" xfId="0" applyFont="1" applyFill="1" applyBorder="1" applyAlignment="1" applyProtection="1">
      <alignment horizontal="center" vertical="center" wrapText="1"/>
    </xf>
    <xf numFmtId="0" fontId="71" fillId="2" borderId="40" xfId="0" applyFont="1" applyFill="1" applyBorder="1" applyAlignment="1" applyProtection="1">
      <alignment horizontal="center" vertical="center" wrapText="1"/>
    </xf>
    <xf numFmtId="0" fontId="71" fillId="2" borderId="65" xfId="0" applyFont="1" applyFill="1" applyBorder="1" applyAlignment="1" applyProtection="1">
      <alignment horizontal="center" vertical="center" wrapText="1"/>
    </xf>
    <xf numFmtId="0" fontId="48" fillId="17" borderId="11" xfId="0" applyFont="1" applyFill="1" applyBorder="1" applyAlignment="1" applyProtection="1">
      <alignment horizontal="left" vertical="top" wrapText="1"/>
    </xf>
    <xf numFmtId="0" fontId="48" fillId="17" borderId="0" xfId="0" applyFont="1" applyFill="1" applyBorder="1" applyAlignment="1" applyProtection="1">
      <alignment horizontal="left" vertical="top" wrapText="1"/>
    </xf>
    <xf numFmtId="0" fontId="71" fillId="2" borderId="86" xfId="0" applyFont="1" applyFill="1" applyBorder="1" applyAlignment="1" applyProtection="1">
      <alignment horizontal="center" vertical="center" wrapText="1"/>
    </xf>
    <xf numFmtId="0" fontId="71" fillId="2" borderId="53"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wrapText="1"/>
    </xf>
    <xf numFmtId="0" fontId="71" fillId="2" borderId="18" xfId="0" applyFont="1" applyFill="1" applyBorder="1" applyAlignment="1" applyProtection="1">
      <alignment horizontal="center" vertical="center" wrapText="1"/>
    </xf>
    <xf numFmtId="0" fontId="71" fillId="2" borderId="19" xfId="0" applyFont="1" applyFill="1" applyBorder="1" applyAlignment="1" applyProtection="1">
      <alignment horizontal="center" vertical="center" wrapText="1"/>
    </xf>
    <xf numFmtId="0" fontId="71" fillId="2" borderId="5" xfId="0" applyFont="1" applyFill="1" applyBorder="1" applyAlignment="1" applyProtection="1">
      <alignment horizontal="center" vertical="top" wrapText="1"/>
    </xf>
    <xf numFmtId="0" fontId="71" fillId="2" borderId="40" xfId="0" applyFont="1" applyFill="1" applyBorder="1" applyAlignment="1" applyProtection="1">
      <alignment horizontal="center" vertical="top" wrapText="1"/>
    </xf>
    <xf numFmtId="0" fontId="71" fillId="2" borderId="65" xfId="0" applyFont="1" applyFill="1" applyBorder="1" applyAlignment="1" applyProtection="1">
      <alignment horizontal="center" vertical="top" wrapText="1"/>
    </xf>
    <xf numFmtId="43" fontId="71" fillId="2" borderId="30" xfId="5" applyFont="1" applyFill="1" applyBorder="1" applyAlignment="1" applyProtection="1">
      <alignment horizontal="center" vertical="center" wrapText="1"/>
    </xf>
    <xf numFmtId="0" fontId="71" fillId="2" borderId="43" xfId="0" applyFont="1" applyFill="1" applyBorder="1" applyAlignment="1" applyProtection="1">
      <alignment horizontal="center" vertical="top" wrapText="1"/>
    </xf>
    <xf numFmtId="0" fontId="71" fillId="2" borderId="24" xfId="0" applyFont="1" applyFill="1" applyBorder="1" applyAlignment="1" applyProtection="1">
      <alignment horizontal="center" vertical="top" wrapText="1"/>
    </xf>
    <xf numFmtId="0" fontId="71" fillId="2" borderId="62" xfId="0" applyFont="1" applyFill="1" applyBorder="1" applyAlignment="1" applyProtection="1">
      <alignment horizontal="center" vertical="top" wrapText="1"/>
    </xf>
    <xf numFmtId="0" fontId="16" fillId="16" borderId="8" xfId="0" applyFont="1" applyFill="1" applyBorder="1" applyAlignment="1" applyProtection="1">
      <alignment horizontal="left" vertical="center" wrapText="1"/>
    </xf>
    <xf numFmtId="0" fontId="16" fillId="16" borderId="20" xfId="0" applyFont="1" applyFill="1" applyBorder="1" applyAlignment="1" applyProtection="1">
      <alignment horizontal="left" vertical="center" wrapText="1"/>
    </xf>
    <xf numFmtId="0" fontId="10" fillId="16" borderId="67" xfId="0" applyFont="1" applyFill="1" applyBorder="1" applyAlignment="1" applyProtection="1">
      <alignment horizontal="justify" vertical="center" wrapText="1"/>
    </xf>
    <xf numFmtId="0" fontId="16" fillId="16" borderId="67" xfId="0" applyFont="1" applyFill="1" applyBorder="1" applyAlignment="1" applyProtection="1">
      <alignment horizontal="justify" vertical="center" wrapText="1"/>
    </xf>
    <xf numFmtId="0" fontId="16" fillId="16" borderId="67" xfId="0" applyFont="1" applyFill="1" applyBorder="1" applyAlignment="1" applyProtection="1">
      <alignment horizontal="justify" vertical="top" wrapText="1"/>
    </xf>
    <xf numFmtId="0" fontId="21" fillId="3" borderId="0" xfId="0" applyFont="1" applyFill="1" applyAlignment="1">
      <alignment horizontal="left"/>
    </xf>
    <xf numFmtId="0" fontId="23" fillId="3" borderId="0" xfId="0" applyFont="1" applyFill="1" applyAlignment="1">
      <alignment horizontal="left"/>
    </xf>
    <xf numFmtId="0" fontId="16" fillId="0" borderId="41" xfId="0" applyFont="1" applyFill="1" applyBorder="1" applyAlignment="1" applyProtection="1">
      <alignment horizontal="justify" vertical="top" wrapText="1"/>
    </xf>
    <xf numFmtId="0" fontId="16" fillId="0" borderId="40" xfId="0" applyFont="1" applyFill="1" applyBorder="1" applyAlignment="1" applyProtection="1">
      <alignment horizontal="justify" vertical="top" wrapText="1"/>
    </xf>
    <xf numFmtId="0" fontId="16" fillId="16" borderId="38" xfId="0" applyFont="1" applyFill="1" applyBorder="1" applyAlignment="1" applyProtection="1">
      <alignment horizontal="justify" vertical="top" wrapText="1"/>
    </xf>
    <xf numFmtId="0" fontId="16" fillId="16" borderId="65" xfId="0" applyFont="1" applyFill="1" applyBorder="1" applyAlignment="1" applyProtection="1">
      <alignment horizontal="justify" vertical="top" wrapText="1"/>
    </xf>
    <xf numFmtId="0" fontId="16" fillId="16" borderId="37" xfId="0" applyFont="1" applyFill="1" applyBorder="1" applyAlignment="1" applyProtection="1">
      <alignment horizontal="justify" vertical="center" wrapText="1"/>
    </xf>
    <xf numFmtId="0" fontId="21" fillId="2" borderId="21" xfId="0" applyFont="1" applyFill="1" applyBorder="1" applyAlignment="1" applyProtection="1">
      <alignment horizontal="center" vertical="top" wrapText="1"/>
    </xf>
    <xf numFmtId="0" fontId="21" fillId="2" borderId="9" xfId="0" applyFont="1" applyFill="1" applyBorder="1" applyAlignment="1" applyProtection="1">
      <alignment horizontal="center" vertical="top" wrapText="1"/>
    </xf>
    <xf numFmtId="0" fontId="16" fillId="16" borderId="2" xfId="0" applyFont="1" applyFill="1" applyBorder="1" applyAlignment="1" applyProtection="1">
      <alignment horizontal="justify" vertical="top" wrapText="1"/>
    </xf>
    <xf numFmtId="0" fontId="16" fillId="16" borderId="68" xfId="0" applyFont="1" applyFill="1" applyBorder="1" applyAlignment="1" applyProtection="1">
      <alignment horizontal="justify" vertical="top" wrapText="1"/>
    </xf>
    <xf numFmtId="0" fontId="16" fillId="0" borderId="55" xfId="0" applyFont="1" applyFill="1" applyBorder="1" applyAlignment="1" applyProtection="1">
      <alignment horizontal="left" vertical="top" wrapText="1"/>
    </xf>
    <xf numFmtId="0" fontId="16" fillId="0" borderId="54" xfId="0" applyFont="1" applyFill="1" applyBorder="1" applyAlignment="1" applyProtection="1">
      <alignment horizontal="left" vertical="top" wrapText="1"/>
    </xf>
    <xf numFmtId="0" fontId="21" fillId="2" borderId="26" xfId="0" applyFont="1" applyFill="1" applyBorder="1" applyAlignment="1" applyProtection="1">
      <alignment horizontal="center"/>
    </xf>
    <xf numFmtId="0" fontId="21" fillId="2" borderId="8" xfId="0" applyFont="1" applyFill="1" applyBorder="1" applyAlignment="1" applyProtection="1">
      <alignment horizontal="center"/>
    </xf>
    <xf numFmtId="0" fontId="21" fillId="2" borderId="20" xfId="0" applyFont="1" applyFill="1" applyBorder="1" applyAlignment="1" applyProtection="1">
      <alignment horizontal="center"/>
    </xf>
    <xf numFmtId="0" fontId="21" fillId="0" borderId="0" xfId="0" applyFont="1" applyFill="1" applyBorder="1" applyAlignment="1" applyProtection="1">
      <alignment vertical="top" wrapText="1"/>
    </xf>
    <xf numFmtId="0" fontId="16" fillId="2" borderId="26" xfId="0" applyFont="1" applyFill="1" applyBorder="1" applyAlignment="1" applyProtection="1">
      <alignment horizontal="justify" vertical="top" wrapText="1"/>
    </xf>
    <xf numFmtId="0" fontId="16" fillId="2" borderId="8" xfId="0" applyFont="1" applyFill="1" applyBorder="1" applyAlignment="1" applyProtection="1">
      <alignment horizontal="justify" vertical="top" wrapText="1"/>
    </xf>
    <xf numFmtId="0" fontId="16" fillId="2" borderId="20" xfId="0" applyFont="1" applyFill="1" applyBorder="1" applyAlignment="1" applyProtection="1">
      <alignment horizontal="justify" vertical="top" wrapText="1"/>
    </xf>
    <xf numFmtId="0" fontId="23" fillId="3" borderId="0" xfId="0" applyFont="1" applyFill="1" applyBorder="1" applyAlignment="1" applyProtection="1">
      <alignment horizontal="left" vertical="top" wrapText="1"/>
    </xf>
    <xf numFmtId="0" fontId="16" fillId="16" borderId="84" xfId="0" applyFont="1" applyFill="1" applyBorder="1" applyAlignment="1" applyProtection="1">
      <alignment horizontal="justify" vertical="center" wrapText="1"/>
    </xf>
    <xf numFmtId="0" fontId="16" fillId="16" borderId="86" xfId="0" applyFont="1" applyFill="1" applyBorder="1" applyAlignment="1" applyProtection="1">
      <alignment horizontal="justify" vertical="center" wrapText="1"/>
    </xf>
    <xf numFmtId="3" fontId="16" fillId="0" borderId="0" xfId="0" applyNumberFormat="1" applyFont="1" applyFill="1" applyBorder="1" applyAlignment="1" applyProtection="1">
      <alignment vertical="top" wrapText="1"/>
      <protection locked="0"/>
    </xf>
    <xf numFmtId="0" fontId="16" fillId="0" borderId="0" xfId="0" applyFont="1" applyFill="1" applyBorder="1" applyAlignment="1" applyProtection="1">
      <alignment vertical="top" wrapText="1"/>
    </xf>
    <xf numFmtId="0" fontId="16" fillId="3" borderId="0" xfId="0" applyFont="1" applyFill="1" applyBorder="1" applyAlignment="1" applyProtection="1">
      <alignment horizontal="left" vertical="top" wrapText="1"/>
    </xf>
    <xf numFmtId="0" fontId="16" fillId="3" borderId="13"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16" fillId="3" borderId="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21" fillId="3" borderId="0" xfId="0" applyFont="1" applyFill="1" applyAlignment="1">
      <alignment horizontal="left" wrapText="1"/>
    </xf>
    <xf numFmtId="0" fontId="16" fillId="0" borderId="0" xfId="0" applyFont="1" applyFill="1" applyBorder="1" applyAlignment="1" applyProtection="1">
      <alignment vertical="top" wrapText="1"/>
      <protection locked="0"/>
    </xf>
    <xf numFmtId="0" fontId="21" fillId="0" borderId="0" xfId="0" applyFont="1" applyFill="1" applyBorder="1" applyAlignment="1" applyProtection="1">
      <alignment horizontal="center" vertical="top" wrapText="1"/>
    </xf>
    <xf numFmtId="0" fontId="16" fillId="2" borderId="26" xfId="0" applyFont="1" applyFill="1" applyBorder="1" applyAlignment="1" applyProtection="1">
      <alignment horizontal="left" vertical="center" wrapText="1"/>
    </xf>
    <xf numFmtId="0" fontId="16" fillId="2" borderId="20" xfId="0" applyFont="1" applyFill="1" applyBorder="1" applyAlignment="1" applyProtection="1">
      <alignment horizontal="left" vertical="center" wrapText="1"/>
    </xf>
    <xf numFmtId="0" fontId="16" fillId="2" borderId="10"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18" borderId="1" xfId="0" applyFont="1" applyFill="1" applyBorder="1" applyAlignment="1" applyProtection="1">
      <alignment horizontal="left" vertical="center" wrapText="1"/>
    </xf>
    <xf numFmtId="0" fontId="16" fillId="15" borderId="1" xfId="0" applyFont="1" applyFill="1" applyBorder="1" applyAlignment="1" applyProtection="1">
      <alignment horizontal="left" vertical="center" wrapText="1"/>
    </xf>
    <xf numFmtId="0" fontId="16" fillId="15" borderId="10" xfId="0" applyFont="1" applyFill="1" applyBorder="1" applyAlignment="1" applyProtection="1">
      <alignment horizontal="center" vertical="center" wrapText="1"/>
    </xf>
    <xf numFmtId="0" fontId="16" fillId="15" borderId="12" xfId="0" applyFont="1" applyFill="1" applyBorder="1" applyAlignment="1" applyProtection="1">
      <alignment horizontal="center" vertical="center" wrapText="1"/>
    </xf>
    <xf numFmtId="0" fontId="16" fillId="15" borderId="15" xfId="0" applyFont="1" applyFill="1" applyBorder="1" applyAlignment="1" applyProtection="1">
      <alignment horizontal="center" vertical="center" wrapText="1"/>
    </xf>
    <xf numFmtId="0" fontId="16" fillId="15" borderId="17" xfId="0" applyFont="1" applyFill="1" applyBorder="1" applyAlignment="1" applyProtection="1">
      <alignment horizontal="center" vertical="center" wrapText="1"/>
    </xf>
    <xf numFmtId="0" fontId="16" fillId="18" borderId="1" xfId="0" applyFont="1" applyFill="1" applyBorder="1" applyAlignment="1" applyProtection="1">
      <alignment horizontal="left" vertical="top" wrapText="1"/>
    </xf>
    <xf numFmtId="0" fontId="21" fillId="3" borderId="1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23" fillId="3" borderId="11" xfId="0" applyFont="1" applyFill="1" applyBorder="1" applyAlignment="1" applyProtection="1">
      <alignment horizontal="center" wrapText="1"/>
    </xf>
    <xf numFmtId="0" fontId="23" fillId="3" borderId="0" xfId="0" applyFont="1" applyFill="1" applyBorder="1" applyAlignment="1" applyProtection="1">
      <alignment horizontal="left" vertical="center" wrapText="1"/>
    </xf>
    <xf numFmtId="0" fontId="16" fillId="18" borderId="1" xfId="0" applyFont="1" applyFill="1" applyBorder="1" applyAlignment="1" applyProtection="1">
      <alignment vertical="center" wrapText="1"/>
    </xf>
    <xf numFmtId="0" fontId="16" fillId="2" borderId="26" xfId="0" applyFont="1" applyFill="1" applyBorder="1" applyAlignment="1" applyProtection="1">
      <alignment horizontal="center"/>
      <protection locked="0"/>
    </xf>
    <xf numFmtId="0" fontId="16" fillId="2" borderId="8" xfId="0" applyFont="1" applyFill="1" applyBorder="1" applyAlignment="1" applyProtection="1">
      <alignment horizontal="center"/>
      <protection locked="0"/>
    </xf>
    <xf numFmtId="0" fontId="16" fillId="2" borderId="20" xfId="0" applyFont="1" applyFill="1" applyBorder="1" applyAlignment="1" applyProtection="1">
      <alignment horizontal="center"/>
      <protection locked="0"/>
    </xf>
    <xf numFmtId="0" fontId="49" fillId="2" borderId="26" xfId="1" applyFont="1" applyFill="1" applyBorder="1" applyAlignment="1" applyProtection="1">
      <alignment horizontal="center"/>
      <protection locked="0"/>
    </xf>
    <xf numFmtId="0" fontId="23" fillId="3" borderId="0" xfId="0" applyFont="1" applyFill="1" applyBorder="1" applyAlignment="1" applyProtection="1">
      <alignment horizontal="left"/>
    </xf>
    <xf numFmtId="0" fontId="16" fillId="18" borderId="19" xfId="0" applyFont="1" applyFill="1" applyBorder="1" applyAlignment="1" applyProtection="1">
      <alignment horizontal="left" vertical="center" wrapText="1"/>
    </xf>
    <xf numFmtId="0" fontId="16" fillId="15" borderId="1" xfId="0" applyFont="1" applyFill="1" applyBorder="1" applyAlignment="1" applyProtection="1">
      <alignment horizontal="center" vertical="center" wrapText="1"/>
    </xf>
    <xf numFmtId="0" fontId="10" fillId="2" borderId="10" xfId="0" applyFont="1" applyFill="1" applyBorder="1" applyAlignment="1" applyProtection="1">
      <alignment horizontal="justify" vertical="center" wrapText="1"/>
    </xf>
    <xf numFmtId="0" fontId="10" fillId="2" borderId="11" xfId="0" applyFont="1" applyFill="1" applyBorder="1" applyAlignment="1" applyProtection="1">
      <alignment horizontal="justify" vertical="center" wrapText="1"/>
    </xf>
    <xf numFmtId="0" fontId="10" fillId="2" borderId="12" xfId="0" applyFont="1" applyFill="1" applyBorder="1" applyAlignment="1" applyProtection="1">
      <alignment horizontal="justify" vertical="center" wrapText="1"/>
    </xf>
    <xf numFmtId="0" fontId="10" fillId="2" borderId="13" xfId="0" applyFont="1" applyFill="1" applyBorder="1" applyAlignment="1" applyProtection="1">
      <alignment horizontal="justify" vertical="center" wrapText="1"/>
    </xf>
    <xf numFmtId="0" fontId="10" fillId="2" borderId="0" xfId="0" applyFont="1" applyFill="1" applyBorder="1" applyAlignment="1" applyProtection="1">
      <alignment horizontal="justify" vertical="center" wrapText="1"/>
    </xf>
    <xf numFmtId="0" fontId="10" fillId="2" borderId="14" xfId="0" applyFont="1" applyFill="1" applyBorder="1" applyAlignment="1" applyProtection="1">
      <alignment horizontal="justify" vertical="center" wrapText="1"/>
    </xf>
    <xf numFmtId="0" fontId="10" fillId="2" borderId="15" xfId="0" applyFont="1" applyFill="1" applyBorder="1" applyAlignment="1" applyProtection="1">
      <alignment horizontal="justify" vertical="center" wrapText="1"/>
    </xf>
    <xf numFmtId="0" fontId="10" fillId="2" borderId="16" xfId="0" applyFont="1" applyFill="1" applyBorder="1" applyAlignment="1" applyProtection="1">
      <alignment horizontal="justify" vertical="center" wrapText="1"/>
    </xf>
    <xf numFmtId="0" fontId="10" fillId="2" borderId="17" xfId="0" applyFont="1" applyFill="1" applyBorder="1" applyAlignment="1" applyProtection="1">
      <alignment horizontal="justify" vertical="center" wrapText="1"/>
    </xf>
    <xf numFmtId="0" fontId="16" fillId="2" borderId="87" xfId="0" applyFont="1" applyFill="1" applyBorder="1" applyAlignment="1" applyProtection="1">
      <alignment horizontal="left" vertical="center" wrapText="1"/>
    </xf>
    <xf numFmtId="0" fontId="16" fillId="2" borderId="88" xfId="0" applyFont="1" applyFill="1" applyBorder="1" applyAlignment="1" applyProtection="1">
      <alignment horizontal="left" vertical="center" wrapText="1"/>
    </xf>
    <xf numFmtId="0" fontId="16" fillId="2" borderId="89" xfId="0" applyFont="1" applyFill="1" applyBorder="1" applyAlignment="1" applyProtection="1">
      <alignment horizontal="left" vertical="center" wrapText="1"/>
    </xf>
    <xf numFmtId="0" fontId="16" fillId="2" borderId="26"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27" xfId="0" applyFont="1" applyFill="1" applyBorder="1" applyAlignment="1" applyProtection="1">
      <alignment horizontal="left" vertical="center" wrapText="1"/>
    </xf>
    <xf numFmtId="0" fontId="16" fillId="2" borderId="28" xfId="0" applyFont="1" applyFill="1" applyBorder="1" applyAlignment="1" applyProtection="1">
      <alignment horizontal="left" vertical="center" wrapText="1"/>
    </xf>
    <xf numFmtId="0" fontId="16" fillId="2" borderId="29" xfId="0" applyFont="1" applyFill="1" applyBorder="1" applyAlignment="1" applyProtection="1">
      <alignment horizontal="left" vertical="center" wrapText="1"/>
    </xf>
    <xf numFmtId="0" fontId="16" fillId="2" borderId="55" xfId="0" applyFont="1" applyFill="1" applyBorder="1" applyAlignment="1" applyProtection="1">
      <alignment horizontal="left" vertical="center" wrapText="1"/>
    </xf>
    <xf numFmtId="0" fontId="16" fillId="2" borderId="51" xfId="0" applyFont="1" applyFill="1" applyBorder="1" applyAlignment="1" applyProtection="1">
      <alignment horizontal="left" vertical="center" wrapText="1"/>
    </xf>
    <xf numFmtId="0" fontId="16" fillId="2" borderId="54" xfId="0" applyFont="1" applyFill="1" applyBorder="1" applyAlignment="1" applyProtection="1">
      <alignment horizontal="left" vertical="center" wrapText="1"/>
    </xf>
    <xf numFmtId="0" fontId="16" fillId="2" borderId="26" xfId="0" applyFont="1" applyFill="1" applyBorder="1" applyAlignment="1" applyProtection="1">
      <alignment horizontal="left"/>
      <protection locked="0"/>
    </xf>
    <xf numFmtId="0" fontId="16" fillId="2" borderId="8" xfId="0" applyFont="1" applyFill="1" applyBorder="1" applyAlignment="1" applyProtection="1">
      <alignment horizontal="left"/>
      <protection locked="0"/>
    </xf>
    <xf numFmtId="0" fontId="16" fillId="2" borderId="20" xfId="0" applyFont="1" applyFill="1" applyBorder="1" applyAlignment="1" applyProtection="1">
      <alignment horizontal="left"/>
      <protection locked="0"/>
    </xf>
    <xf numFmtId="0" fontId="51" fillId="3" borderId="0"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0" fontId="16" fillId="2" borderId="13"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2" borderId="15" xfId="0" applyFont="1" applyFill="1" applyBorder="1" applyAlignment="1" applyProtection="1">
      <alignment horizontal="left" vertical="center" wrapText="1"/>
    </xf>
    <xf numFmtId="0" fontId="16" fillId="2" borderId="16" xfId="0" applyFont="1" applyFill="1" applyBorder="1" applyAlignment="1" applyProtection="1">
      <alignment horizontal="left" vertical="center" wrapText="1"/>
    </xf>
    <xf numFmtId="0" fontId="16" fillId="2" borderId="17" xfId="0" applyFont="1" applyFill="1" applyBorder="1" applyAlignment="1" applyProtection="1">
      <alignment horizontal="left" vertical="center" wrapText="1"/>
    </xf>
    <xf numFmtId="0" fontId="50" fillId="2" borderId="26" xfId="1" applyFont="1" applyFill="1" applyBorder="1" applyAlignment="1" applyProtection="1">
      <alignment horizontal="left"/>
      <protection locked="0"/>
    </xf>
    <xf numFmtId="0" fontId="16" fillId="0" borderId="67" xfId="0" applyFont="1" applyFill="1" applyBorder="1" applyAlignment="1" applyProtection="1">
      <alignment horizontal="justify" vertical="center" wrapText="1"/>
    </xf>
    <xf numFmtId="0" fontId="10" fillId="0" borderId="68" xfId="0" applyFont="1" applyFill="1" applyBorder="1" applyAlignment="1" applyProtection="1">
      <alignment horizontal="justify" vertical="center" wrapText="1"/>
    </xf>
    <xf numFmtId="0" fontId="16" fillId="0" borderId="68" xfId="0" applyFont="1" applyFill="1" applyBorder="1" applyAlignment="1" applyProtection="1">
      <alignment horizontal="justify" vertical="center" wrapText="1"/>
    </xf>
    <xf numFmtId="0" fontId="16" fillId="15" borderId="68" xfId="0" applyFont="1" applyFill="1" applyBorder="1" applyAlignment="1" applyProtection="1">
      <alignment horizontal="left" vertical="center" wrapText="1"/>
    </xf>
    <xf numFmtId="0" fontId="16" fillId="15" borderId="70" xfId="0" applyFont="1" applyFill="1" applyBorder="1" applyAlignment="1" applyProtection="1">
      <alignment horizontal="left" vertical="center" wrapText="1"/>
    </xf>
    <xf numFmtId="0" fontId="16" fillId="18" borderId="55" xfId="0" applyFont="1" applyFill="1" applyBorder="1" applyAlignment="1" applyProtection="1">
      <alignment horizontal="left" vertical="center" wrapText="1"/>
    </xf>
    <xf numFmtId="0" fontId="16" fillId="0" borderId="70" xfId="0" applyFont="1" applyFill="1" applyBorder="1" applyAlignment="1" applyProtection="1">
      <alignment horizontal="justify" vertical="center" wrapText="1"/>
    </xf>
    <xf numFmtId="0" fontId="16" fillId="18" borderId="96" xfId="0" applyFont="1" applyFill="1" applyBorder="1" applyAlignment="1" applyProtection="1">
      <alignment horizontal="left" vertical="center" wrapText="1"/>
    </xf>
    <xf numFmtId="0" fontId="16" fillId="18" borderId="95" xfId="0" applyFont="1" applyFill="1" applyBorder="1" applyAlignment="1" applyProtection="1">
      <alignment horizontal="left" vertical="center" wrapText="1"/>
    </xf>
    <xf numFmtId="0" fontId="16" fillId="0" borderId="8" xfId="0" applyFont="1" applyBorder="1" applyAlignment="1"/>
    <xf numFmtId="0" fontId="16" fillId="0" borderId="20" xfId="0" applyFont="1" applyBorder="1" applyAlignment="1"/>
    <xf numFmtId="0" fontId="23" fillId="3" borderId="11" xfId="0" applyFont="1" applyFill="1" applyBorder="1" applyAlignment="1">
      <alignment horizontal="center"/>
    </xf>
    <xf numFmtId="0" fontId="23" fillId="3" borderId="0" xfId="0" applyFont="1" applyFill="1" applyBorder="1" applyAlignment="1" applyProtection="1">
      <alignment horizontal="center" wrapText="1"/>
    </xf>
    <xf numFmtId="0" fontId="21" fillId="2" borderId="21" xfId="0"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wrapText="1"/>
    </xf>
    <xf numFmtId="0" fontId="16" fillId="18" borderId="2"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xf>
    <xf numFmtId="0" fontId="16" fillId="17" borderId="18" xfId="0" applyFont="1" applyFill="1" applyBorder="1" applyAlignment="1" applyProtection="1">
      <alignment horizontal="left" vertical="center" wrapText="1"/>
    </xf>
    <xf numFmtId="0" fontId="16" fillId="18" borderId="91" xfId="0" applyFont="1" applyFill="1" applyBorder="1" applyAlignment="1" applyProtection="1">
      <alignment horizontal="left" vertical="center" wrapText="1"/>
    </xf>
    <xf numFmtId="0" fontId="16" fillId="18" borderId="44" xfId="0" applyFont="1" applyFill="1" applyBorder="1" applyAlignment="1" applyProtection="1">
      <alignment horizontal="left" vertical="center" wrapText="1"/>
    </xf>
    <xf numFmtId="0" fontId="16" fillId="18" borderId="93" xfId="0" applyFont="1" applyFill="1" applyBorder="1" applyAlignment="1" applyProtection="1">
      <alignment horizontal="left" vertical="center" wrapText="1"/>
    </xf>
    <xf numFmtId="0" fontId="16" fillId="18" borderId="94" xfId="0" applyFont="1" applyFill="1" applyBorder="1" applyAlignment="1" applyProtection="1">
      <alignment horizontal="left" vertical="center" wrapText="1"/>
    </xf>
    <xf numFmtId="0" fontId="16" fillId="0" borderId="92" xfId="8" applyFont="1" applyFill="1" applyBorder="1" applyAlignment="1" applyProtection="1">
      <alignment horizontal="justify" vertical="center" wrapText="1"/>
    </xf>
    <xf numFmtId="0" fontId="16" fillId="0" borderId="70" xfId="8" applyFont="1" applyFill="1" applyBorder="1" applyAlignment="1" applyProtection="1">
      <alignment horizontal="justify" vertical="center" wrapText="1"/>
    </xf>
    <xf numFmtId="0" fontId="28" fillId="0" borderId="0" xfId="0" applyFont="1" applyAlignment="1" applyProtection="1">
      <alignment horizontal="left"/>
    </xf>
    <xf numFmtId="0" fontId="0" fillId="10" borderId="26" xfId="0" applyFill="1" applyBorder="1" applyAlignment="1" applyProtection="1">
      <alignment horizontal="center" vertical="center"/>
    </xf>
    <xf numFmtId="0" fontId="0" fillId="10" borderId="8"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52" xfId="0" applyFill="1" applyBorder="1" applyAlignment="1" applyProtection="1">
      <alignment horizontal="left" vertical="center" wrapText="1"/>
    </xf>
    <xf numFmtId="0" fontId="0" fillId="10" borderId="30" xfId="0" applyFill="1" applyBorder="1" applyAlignment="1" applyProtection="1">
      <alignment horizontal="left" vertical="center" wrapText="1"/>
    </xf>
    <xf numFmtId="0" fontId="0" fillId="10" borderId="84" xfId="0" applyFill="1" applyBorder="1" applyAlignment="1" applyProtection="1">
      <alignment horizontal="left" vertical="center" wrapText="1"/>
    </xf>
    <xf numFmtId="0" fontId="0" fillId="10" borderId="83" xfId="0" applyFill="1" applyBorder="1" applyAlignment="1" applyProtection="1">
      <alignment horizontal="left" vertical="center" wrapText="1"/>
    </xf>
    <xf numFmtId="0" fontId="0" fillId="10" borderId="31" xfId="0" applyFill="1" applyBorder="1" applyAlignment="1" applyProtection="1">
      <alignment horizontal="left" vertical="center" wrapText="1"/>
    </xf>
    <xf numFmtId="0" fontId="0" fillId="10" borderId="69" xfId="0" applyFill="1" applyBorder="1" applyAlignment="1" applyProtection="1">
      <alignment horizontal="left" vertical="center" wrapText="1"/>
    </xf>
    <xf numFmtId="0" fontId="35" fillId="12" borderId="52" xfId="4" applyFont="1" applyFill="1" applyBorder="1" applyAlignment="1" applyProtection="1">
      <alignment horizontal="center" vertical="center"/>
      <protection locked="0"/>
    </xf>
    <xf numFmtId="0" fontId="35" fillId="12" borderId="84" xfId="4" applyFont="1" applyFill="1" applyBorder="1" applyAlignment="1" applyProtection="1">
      <alignment horizontal="center" vertical="center"/>
      <protection locked="0"/>
    </xf>
    <xf numFmtId="0" fontId="35" fillId="12" borderId="52" xfId="4" applyFont="1" applyFill="1" applyBorder="1" applyAlignment="1" applyProtection="1">
      <alignment horizontal="center" vertical="center" wrapText="1"/>
      <protection locked="0"/>
    </xf>
    <xf numFmtId="0" fontId="35" fillId="12" borderId="84" xfId="4" applyFont="1" applyFill="1" applyBorder="1" applyAlignment="1" applyProtection="1">
      <alignment horizontal="center" vertical="center" wrapText="1"/>
      <protection locked="0"/>
    </xf>
    <xf numFmtId="0" fontId="35" fillId="8" borderId="52" xfId="4" applyFont="1" applyBorder="1" applyAlignment="1" applyProtection="1">
      <alignment horizontal="center" vertical="center"/>
      <protection locked="0"/>
    </xf>
    <xf numFmtId="0" fontId="35" fillId="8" borderId="84" xfId="4" applyFont="1" applyBorder="1" applyAlignment="1" applyProtection="1">
      <alignment horizontal="center" vertical="center"/>
      <protection locked="0"/>
    </xf>
    <xf numFmtId="0" fontId="30" fillId="11" borderId="25" xfId="0" applyFont="1" applyFill="1" applyBorder="1" applyAlignment="1" applyProtection="1">
      <alignment horizontal="center" vertical="center"/>
    </xf>
    <xf numFmtId="0" fontId="30" fillId="11" borderId="29" xfId="0" applyFont="1" applyFill="1" applyBorder="1" applyAlignment="1" applyProtection="1">
      <alignment horizontal="center" vertical="center"/>
    </xf>
    <xf numFmtId="0" fontId="27" fillId="12" borderId="98" xfId="4" applyFill="1" applyBorder="1" applyAlignment="1" applyProtection="1">
      <alignment horizontal="center" vertical="center" wrapText="1"/>
      <protection locked="0"/>
    </xf>
    <xf numFmtId="0" fontId="27" fillId="12" borderId="54" xfId="4" applyFill="1" applyBorder="1" applyAlignment="1" applyProtection="1">
      <alignment horizontal="center" vertical="center" wrapText="1"/>
      <protection locked="0"/>
    </xf>
    <xf numFmtId="0" fontId="27" fillId="8" borderId="52" xfId="4" applyBorder="1" applyAlignment="1" applyProtection="1">
      <alignment horizontal="center" wrapText="1"/>
      <protection locked="0"/>
    </xf>
    <xf numFmtId="0" fontId="27" fillId="8" borderId="84" xfId="4" applyBorder="1" applyAlignment="1" applyProtection="1">
      <alignment horizontal="center" wrapText="1"/>
      <protection locked="0"/>
    </xf>
    <xf numFmtId="0" fontId="27" fillId="8" borderId="53" xfId="4" applyBorder="1" applyAlignment="1" applyProtection="1">
      <alignment horizontal="center" wrapText="1"/>
      <protection locked="0"/>
    </xf>
    <xf numFmtId="0" fontId="27" fillId="8" borderId="86" xfId="4" applyBorder="1" applyAlignment="1" applyProtection="1">
      <alignment horizontal="center" wrapText="1"/>
      <protection locked="0"/>
    </xf>
    <xf numFmtId="0" fontId="27" fillId="12" borderId="52" xfId="4" applyFill="1" applyBorder="1" applyAlignment="1" applyProtection="1">
      <alignment horizontal="center" wrapText="1"/>
      <protection locked="0"/>
    </xf>
    <xf numFmtId="0" fontId="27" fillId="12" borderId="84" xfId="4" applyFill="1" applyBorder="1" applyAlignment="1" applyProtection="1">
      <alignment horizontal="center" wrapText="1"/>
      <protection locked="0"/>
    </xf>
    <xf numFmtId="0" fontId="30" fillId="11" borderId="25" xfId="0" applyFont="1" applyFill="1" applyBorder="1" applyAlignment="1" applyProtection="1">
      <alignment horizontal="center" vertical="center" wrapText="1"/>
    </xf>
    <xf numFmtId="0" fontId="30" fillId="11" borderId="32" xfId="0" applyFont="1" applyFill="1" applyBorder="1" applyAlignment="1" applyProtection="1">
      <alignment horizontal="center" vertical="center" wrapText="1"/>
    </xf>
    <xf numFmtId="0" fontId="0" fillId="0" borderId="52"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52"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84" xfId="0" applyBorder="1" applyAlignment="1" applyProtection="1">
      <alignment horizontal="left" vertical="center" wrapText="1"/>
    </xf>
    <xf numFmtId="0" fontId="27" fillId="12" borderId="53" xfId="4" applyFill="1" applyBorder="1" applyAlignment="1" applyProtection="1">
      <alignment horizontal="center" wrapText="1"/>
      <protection locked="0"/>
    </xf>
    <xf numFmtId="0" fontId="27" fillId="12" borderId="86" xfId="4" applyFill="1" applyBorder="1" applyAlignment="1" applyProtection="1">
      <alignment horizontal="center" wrapText="1"/>
      <protection locked="0"/>
    </xf>
    <xf numFmtId="0" fontId="0" fillId="10" borderId="33" xfId="0" applyFill="1" applyBorder="1" applyAlignment="1" applyProtection="1">
      <alignment horizontal="center" vertical="center"/>
    </xf>
    <xf numFmtId="0" fontId="0" fillId="10" borderId="34" xfId="0" applyFill="1" applyBorder="1" applyAlignment="1" applyProtection="1">
      <alignment horizontal="center" vertical="center"/>
    </xf>
    <xf numFmtId="0" fontId="0" fillId="10" borderId="9" xfId="0" applyFill="1" applyBorder="1" applyAlignment="1" applyProtection="1">
      <alignment horizontal="center" vertical="center"/>
    </xf>
    <xf numFmtId="0" fontId="27" fillId="12" borderId="53" xfId="4" applyFill="1" applyBorder="1" applyAlignment="1" applyProtection="1">
      <alignment horizontal="center" vertical="center"/>
      <protection locked="0"/>
    </xf>
    <xf numFmtId="0" fontId="27" fillId="12" borderId="86" xfId="4" applyFill="1" applyBorder="1" applyAlignment="1" applyProtection="1">
      <alignment horizontal="center" vertical="center"/>
      <protection locked="0"/>
    </xf>
    <xf numFmtId="0" fontId="27" fillId="12" borderId="52" xfId="4" applyFill="1" applyBorder="1" applyAlignment="1" applyProtection="1">
      <alignment horizontal="center" vertical="center"/>
      <protection locked="0"/>
    </xf>
    <xf numFmtId="0" fontId="27" fillId="12" borderId="84" xfId="4" applyFill="1" applyBorder="1" applyAlignment="1" applyProtection="1">
      <alignment horizontal="center" vertical="center"/>
      <protection locked="0"/>
    </xf>
    <xf numFmtId="0" fontId="19" fillId="3" borderId="11" xfId="0" applyFont="1" applyFill="1" applyBorder="1" applyAlignment="1">
      <alignment horizontal="center" vertical="center"/>
    </xf>
    <xf numFmtId="0" fontId="12" fillId="3" borderId="10"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5" fillId="3" borderId="15" xfId="1" applyFill="1" applyBorder="1" applyAlignment="1" applyProtection="1">
      <alignment horizontal="center" vertical="top" wrapText="1"/>
    </xf>
    <xf numFmtId="0" fontId="15" fillId="3" borderId="16" xfId="1" applyFill="1" applyBorder="1" applyAlignment="1" applyProtection="1">
      <alignment horizontal="center" vertical="top" wrapText="1"/>
    </xf>
    <xf numFmtId="0" fontId="24" fillId="2" borderId="9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46" xfId="0" applyFont="1" applyFill="1" applyBorder="1" applyAlignment="1">
      <alignment horizontal="center" vertical="center"/>
    </xf>
    <xf numFmtId="0" fontId="0" fillId="0" borderId="84" xfId="0" applyBorder="1" applyAlignment="1" applyProtection="1">
      <alignment horizontal="center" vertical="center" wrapText="1"/>
    </xf>
    <xf numFmtId="0" fontId="30" fillId="11" borderId="98" xfId="0" applyFont="1" applyFill="1" applyBorder="1" applyAlignment="1" applyProtection="1">
      <alignment horizontal="center" vertical="center" wrapText="1"/>
    </xf>
    <xf numFmtId="0" fontId="30" fillId="11" borderId="54" xfId="0" applyFont="1" applyFill="1" applyBorder="1" applyAlignment="1" applyProtection="1">
      <alignment horizontal="center" vertical="center" wrapText="1"/>
    </xf>
    <xf numFmtId="0" fontId="27" fillId="8" borderId="98" xfId="4" applyBorder="1" applyAlignment="1" applyProtection="1">
      <alignment horizontal="center" vertical="center" wrapText="1"/>
      <protection locked="0"/>
    </xf>
    <xf numFmtId="0" fontId="27" fillId="8" borderId="54" xfId="4" applyBorder="1" applyAlignment="1" applyProtection="1">
      <alignment horizontal="center" vertical="center" wrapText="1"/>
      <protection locked="0"/>
    </xf>
    <xf numFmtId="0" fontId="30" fillId="11" borderId="32" xfId="0" applyFont="1" applyFill="1" applyBorder="1" applyAlignment="1" applyProtection="1">
      <alignment horizontal="center" vertical="center"/>
    </xf>
    <xf numFmtId="0" fontId="35" fillId="8" borderId="98" xfId="4" applyFont="1" applyBorder="1" applyAlignment="1" applyProtection="1">
      <alignment horizontal="center" vertical="center" wrapText="1"/>
      <protection locked="0"/>
    </xf>
    <xf numFmtId="0" fontId="35" fillId="8" borderId="54" xfId="4" applyFont="1" applyBorder="1" applyAlignment="1" applyProtection="1">
      <alignment horizontal="center" vertical="center" wrapText="1"/>
      <protection locked="0"/>
    </xf>
    <xf numFmtId="0" fontId="35" fillId="12" borderId="98" xfId="4" applyFont="1" applyFill="1" applyBorder="1" applyAlignment="1" applyProtection="1">
      <alignment horizontal="center" vertical="center" wrapText="1"/>
      <protection locked="0"/>
    </xf>
    <xf numFmtId="0" fontId="35" fillId="12" borderId="54" xfId="4" applyFont="1" applyFill="1" applyBorder="1" applyAlignment="1" applyProtection="1">
      <alignment horizontal="center" vertical="center" wrapText="1"/>
      <protection locked="0"/>
    </xf>
    <xf numFmtId="0" fontId="0" fillId="0" borderId="101" xfId="0" applyBorder="1" applyAlignment="1" applyProtection="1">
      <alignment horizontal="left" vertical="center" wrapText="1"/>
    </xf>
    <xf numFmtId="0" fontId="30" fillId="11" borderId="28" xfId="0" applyFont="1" applyFill="1" applyBorder="1" applyAlignment="1" applyProtection="1">
      <alignment horizontal="center" vertical="center"/>
    </xf>
    <xf numFmtId="0" fontId="30" fillId="11" borderId="27" xfId="0" applyFont="1" applyFill="1" applyBorder="1" applyAlignment="1" applyProtection="1">
      <alignment horizontal="center" vertical="center" wrapText="1"/>
    </xf>
    <xf numFmtId="10" fontId="32" fillId="8" borderId="98" xfId="4" applyNumberFormat="1" applyFont="1" applyBorder="1" applyAlignment="1" applyProtection="1">
      <alignment horizontal="center" vertical="center" wrapText="1"/>
      <protection locked="0"/>
    </xf>
    <xf numFmtId="10" fontId="32" fillId="8" borderId="46" xfId="4" applyNumberFormat="1" applyFont="1" applyBorder="1" applyAlignment="1" applyProtection="1">
      <alignment horizontal="center" vertical="center" wrapText="1"/>
      <protection locked="0"/>
    </xf>
    <xf numFmtId="0" fontId="27" fillId="8" borderId="51" xfId="4" applyBorder="1" applyAlignment="1" applyProtection="1">
      <alignment horizontal="center" vertical="center" wrapText="1"/>
      <protection locked="0"/>
    </xf>
    <xf numFmtId="9" fontId="32" fillId="12" borderId="102" xfId="4" applyNumberFormat="1" applyFont="1" applyFill="1" applyBorder="1" applyAlignment="1" applyProtection="1">
      <alignment horizontal="center" vertical="center" wrapText="1"/>
      <protection locked="0"/>
    </xf>
    <xf numFmtId="0" fontId="32" fillId="12" borderId="46" xfId="4" applyFont="1" applyFill="1" applyBorder="1" applyAlignment="1" applyProtection="1">
      <alignment horizontal="center" vertical="center" wrapText="1"/>
      <protection locked="0"/>
    </xf>
    <xf numFmtId="0" fontId="30" fillId="11" borderId="51" xfId="0" applyFont="1" applyFill="1" applyBorder="1" applyAlignment="1" applyProtection="1">
      <alignment horizontal="center" vertical="center" wrapText="1"/>
    </xf>
    <xf numFmtId="0" fontId="27" fillId="8" borderId="51" xfId="4" applyBorder="1" applyAlignment="1" applyProtection="1">
      <alignment horizontal="center" vertical="center"/>
      <protection locked="0"/>
    </xf>
    <xf numFmtId="0" fontId="27" fillId="12" borderId="51" xfId="4" applyFill="1" applyBorder="1" applyAlignment="1" applyProtection="1">
      <alignment horizontal="center" vertical="center"/>
      <protection locked="0"/>
    </xf>
    <xf numFmtId="0" fontId="27" fillId="12" borderId="54" xfId="4" applyFill="1" applyBorder="1" applyAlignment="1" applyProtection="1">
      <alignment horizontal="center" vertical="center"/>
      <protection locked="0"/>
    </xf>
    <xf numFmtId="0" fontId="27" fillId="8" borderId="98" xfId="4" applyBorder="1" applyAlignment="1" applyProtection="1">
      <alignment horizontal="center"/>
      <protection locked="0"/>
    </xf>
    <xf numFmtId="0" fontId="27" fillId="8" borderId="54" xfId="4" applyBorder="1" applyAlignment="1" applyProtection="1">
      <alignment horizontal="center"/>
      <protection locked="0"/>
    </xf>
    <xf numFmtId="0" fontId="27" fillId="12" borderId="98" xfId="4" applyFill="1" applyBorder="1" applyAlignment="1" applyProtection="1">
      <alignment horizontal="center"/>
      <protection locked="0"/>
    </xf>
    <xf numFmtId="0" fontId="27" fillId="12" borderId="54" xfId="4" applyFill="1" applyBorder="1" applyAlignment="1" applyProtection="1">
      <alignment horizontal="center"/>
      <protection locked="0"/>
    </xf>
    <xf numFmtId="0" fontId="0" fillId="0" borderId="99" xfId="0" applyBorder="1" applyAlignment="1" applyProtection="1">
      <alignment horizontal="left" vertical="center" wrapText="1"/>
    </xf>
    <xf numFmtId="0" fontId="30" fillId="11" borderId="46" xfId="0" applyFont="1" applyFill="1" applyBorder="1" applyAlignment="1" applyProtection="1">
      <alignment horizontal="center" vertical="center" wrapText="1"/>
    </xf>
    <xf numFmtId="0" fontId="27" fillId="8" borderId="98" xfId="4" applyBorder="1" applyAlignment="1" applyProtection="1">
      <alignment horizontal="center" vertical="center"/>
      <protection locked="0"/>
    </xf>
    <xf numFmtId="0" fontId="27" fillId="8" borderId="46" xfId="4" applyBorder="1" applyAlignment="1" applyProtection="1">
      <alignment horizontal="center" vertical="center"/>
      <protection locked="0"/>
    </xf>
    <xf numFmtId="0" fontId="27" fillId="12" borderId="98" xfId="4" applyFill="1" applyBorder="1" applyAlignment="1" applyProtection="1">
      <alignment horizontal="center" vertical="center"/>
      <protection locked="0"/>
    </xf>
    <xf numFmtId="0" fontId="27" fillId="12" borderId="46" xfId="4" applyFill="1" applyBorder="1" applyAlignment="1" applyProtection="1">
      <alignment horizontal="center" vertical="center"/>
      <protection locked="0"/>
    </xf>
    <xf numFmtId="0" fontId="27" fillId="12" borderId="46" xfId="4" applyFill="1" applyBorder="1" applyAlignment="1" applyProtection="1">
      <alignment horizontal="center" vertical="center" wrapText="1"/>
      <protection locked="0"/>
    </xf>
    <xf numFmtId="0" fontId="0" fillId="10" borderId="22" xfId="0" applyFill="1" applyBorder="1" applyAlignment="1" applyProtection="1">
      <alignment horizontal="center" vertical="center"/>
    </xf>
    <xf numFmtId="0" fontId="0" fillId="10" borderId="21" xfId="0" applyFill="1" applyBorder="1" applyAlignment="1" applyProtection="1">
      <alignment horizontal="center" vertical="center"/>
    </xf>
    <xf numFmtId="0" fontId="30" fillId="11" borderId="27" xfId="0" applyFont="1" applyFill="1" applyBorder="1" applyAlignment="1" applyProtection="1">
      <alignment horizontal="center" vertical="center"/>
    </xf>
    <xf numFmtId="0" fontId="27" fillId="8" borderId="46" xfId="4" applyBorder="1" applyAlignment="1" applyProtection="1">
      <alignment horizontal="center" vertical="center" wrapText="1"/>
      <protection locked="0"/>
    </xf>
    <xf numFmtId="0" fontId="0" fillId="0" borderId="99" xfId="0" applyBorder="1" applyAlignment="1" applyProtection="1">
      <alignment horizontal="center" vertical="center" wrapText="1"/>
    </xf>
    <xf numFmtId="0" fontId="27" fillId="8" borderId="52" xfId="4" applyBorder="1" applyAlignment="1" applyProtection="1">
      <alignment horizontal="center" vertical="center"/>
      <protection locked="0"/>
    </xf>
    <xf numFmtId="0" fontId="27" fillId="8" borderId="84" xfId="4" applyBorder="1" applyAlignment="1" applyProtection="1">
      <alignment horizontal="center" vertical="center"/>
      <protection locked="0"/>
    </xf>
    <xf numFmtId="0" fontId="32" fillId="9" borderId="52" xfId="4" applyFont="1" applyFill="1" applyBorder="1" applyAlignment="1" applyProtection="1">
      <alignment horizontal="center" vertical="center"/>
      <protection locked="0"/>
    </xf>
    <xf numFmtId="0" fontId="32" fillId="9" borderId="84" xfId="4" applyFont="1" applyFill="1" applyBorder="1" applyAlignment="1" applyProtection="1">
      <alignment horizontal="center" vertical="center"/>
      <protection locked="0"/>
    </xf>
    <xf numFmtId="0" fontId="27" fillId="8" borderId="53" xfId="4" applyBorder="1" applyAlignment="1" applyProtection="1">
      <alignment horizontal="center" vertical="center"/>
      <protection locked="0"/>
    </xf>
    <xf numFmtId="0" fontId="27" fillId="8" borderId="86" xfId="4" applyBorder="1" applyAlignment="1" applyProtection="1">
      <alignment horizontal="center" vertical="center"/>
      <protection locked="0"/>
    </xf>
    <xf numFmtId="0" fontId="32" fillId="12" borderId="52" xfId="4" applyFont="1" applyFill="1" applyBorder="1" applyAlignment="1" applyProtection="1">
      <alignment horizontal="center" vertical="center"/>
      <protection locked="0"/>
    </xf>
    <xf numFmtId="0" fontId="32" fillId="12" borderId="84" xfId="4" applyFont="1" applyFill="1" applyBorder="1" applyAlignment="1" applyProtection="1">
      <alignment horizontal="center" vertical="center"/>
      <protection locked="0"/>
    </xf>
    <xf numFmtId="0" fontId="27" fillId="9" borderId="52" xfId="4" applyFill="1" applyBorder="1" applyAlignment="1" applyProtection="1">
      <alignment horizontal="center" vertical="center"/>
      <protection locked="0"/>
    </xf>
    <xf numFmtId="0" fontId="27" fillId="9" borderId="84" xfId="4" applyFill="1" applyBorder="1" applyAlignment="1" applyProtection="1">
      <alignment horizontal="center" vertical="center"/>
      <protection locked="0"/>
    </xf>
    <xf numFmtId="0" fontId="0" fillId="10" borderId="52" xfId="0" applyFill="1" applyBorder="1" applyAlignment="1" applyProtection="1">
      <alignment horizontal="center" vertical="center" wrapText="1"/>
    </xf>
    <xf numFmtId="0" fontId="0" fillId="10" borderId="30" xfId="0" applyFill="1" applyBorder="1" applyAlignment="1" applyProtection="1">
      <alignment horizontal="center" vertical="center" wrapText="1"/>
    </xf>
    <xf numFmtId="10" fontId="27" fillId="12" borderId="98" xfId="4" applyNumberFormat="1" applyFill="1" applyBorder="1" applyAlignment="1" applyProtection="1">
      <alignment horizontal="center" vertical="center"/>
      <protection locked="0"/>
    </xf>
    <xf numFmtId="10" fontId="27" fillId="12" borderId="46" xfId="4" applyNumberFormat="1" applyFill="1" applyBorder="1" applyAlignment="1" applyProtection="1">
      <alignment horizontal="center" vertical="center"/>
      <protection locked="0"/>
    </xf>
    <xf numFmtId="0" fontId="0" fillId="0" borderId="83" xfId="0" applyBorder="1" applyAlignment="1" applyProtection="1">
      <alignment horizontal="left" vertical="center" wrapText="1"/>
    </xf>
    <xf numFmtId="0" fontId="0" fillId="0" borderId="69" xfId="0" applyBorder="1" applyAlignment="1" applyProtection="1">
      <alignment horizontal="left" vertical="center" wrapText="1"/>
    </xf>
    <xf numFmtId="0" fontId="35" fillId="8" borderId="98" xfId="4" applyFont="1" applyBorder="1" applyAlignment="1" applyProtection="1">
      <alignment horizontal="center" vertical="center"/>
      <protection locked="0"/>
    </xf>
    <xf numFmtId="0" fontId="35" fillId="8" borderId="46" xfId="4" applyFont="1" applyBorder="1" applyAlignment="1" applyProtection="1">
      <alignment horizontal="center" vertical="center"/>
      <protection locked="0"/>
    </xf>
    <xf numFmtId="0" fontId="35" fillId="12" borderId="98" xfId="4" applyFont="1" applyFill="1" applyBorder="1" applyAlignment="1" applyProtection="1">
      <alignment horizontal="center" vertical="center"/>
      <protection locked="0"/>
    </xf>
    <xf numFmtId="0" fontId="35" fillId="12" borderId="46" xfId="4" applyFont="1" applyFill="1" applyBorder="1" applyAlignment="1" applyProtection="1">
      <alignment horizontal="center" vertical="center"/>
      <protection locked="0"/>
    </xf>
    <xf numFmtId="0" fontId="27" fillId="8" borderId="98" xfId="4" applyBorder="1" applyAlignment="1" applyProtection="1">
      <alignment horizontal="left" vertical="center" wrapText="1"/>
      <protection locked="0"/>
    </xf>
    <xf numFmtId="0" fontId="27" fillId="8" borderId="51" xfId="4" applyBorder="1" applyAlignment="1" applyProtection="1">
      <alignment horizontal="left" vertical="center" wrapText="1"/>
      <protection locked="0"/>
    </xf>
    <xf numFmtId="0" fontId="27" fillId="8" borderId="54" xfId="4" applyBorder="1" applyAlignment="1" applyProtection="1">
      <alignment horizontal="left" vertical="center" wrapText="1"/>
      <protection locked="0"/>
    </xf>
    <xf numFmtId="0" fontId="27" fillId="12" borderId="98" xfId="4" applyFill="1" applyBorder="1" applyAlignment="1" applyProtection="1">
      <alignment horizontal="left" vertical="center" wrapText="1"/>
      <protection locked="0"/>
    </xf>
    <xf numFmtId="0" fontId="27" fillId="12" borderId="51" xfId="4" applyFill="1" applyBorder="1" applyAlignment="1" applyProtection="1">
      <alignment horizontal="left" vertical="center" wrapText="1"/>
      <protection locked="0"/>
    </xf>
    <xf numFmtId="0" fontId="27" fillId="12" borderId="54" xfId="4" applyFill="1" applyBorder="1" applyAlignment="1" applyProtection="1">
      <alignment horizontal="left" vertical="center" wrapText="1"/>
      <protection locked="0"/>
    </xf>
    <xf numFmtId="0" fontId="21" fillId="15" borderId="1" xfId="0" applyFont="1" applyFill="1" applyBorder="1" applyAlignment="1" applyProtection="1">
      <alignment horizontal="center"/>
    </xf>
    <xf numFmtId="0" fontId="16" fillId="17" borderId="13" xfId="0" applyFont="1" applyFill="1" applyBorder="1" applyAlignment="1" applyProtection="1">
      <alignment horizontal="center" wrapText="1"/>
    </xf>
    <xf numFmtId="0" fontId="16" fillId="17" borderId="0" xfId="0" applyFont="1" applyFill="1" applyBorder="1" applyAlignment="1" applyProtection="1">
      <alignment horizontal="center"/>
    </xf>
    <xf numFmtId="0" fontId="21" fillId="17" borderId="0" xfId="0" applyFont="1" applyFill="1" applyBorder="1" applyAlignment="1" applyProtection="1">
      <alignment horizontal="left" vertical="top" wrapText="1"/>
    </xf>
    <xf numFmtId="0" fontId="23" fillId="17" borderId="0" xfId="0" applyFont="1" applyFill="1" applyBorder="1" applyAlignment="1" applyProtection="1">
      <alignment horizontal="left" vertical="top" wrapText="1"/>
    </xf>
    <xf numFmtId="0" fontId="45" fillId="0" borderId="98" xfId="0" applyFont="1" applyBorder="1" applyAlignment="1">
      <alignment horizontal="center"/>
    </xf>
    <xf numFmtId="0" fontId="45" fillId="0" borderId="46" xfId="0" applyFont="1" applyBorder="1" applyAlignment="1">
      <alignment horizontal="center"/>
    </xf>
    <xf numFmtId="0" fontId="11" fillId="0" borderId="26" xfId="0" applyFont="1" applyBorder="1" applyAlignment="1">
      <alignment horizontal="center"/>
    </xf>
    <xf numFmtId="0" fontId="11" fillId="0" borderId="8" xfId="0" applyFont="1" applyBorder="1" applyAlignment="1">
      <alignment horizontal="center"/>
    </xf>
    <xf numFmtId="0" fontId="11" fillId="0" borderId="20" xfId="0" applyFont="1" applyBorder="1" applyAlignment="1">
      <alignment horizontal="center"/>
    </xf>
    <xf numFmtId="0" fontId="11" fillId="0" borderId="99" xfId="0" applyFont="1" applyBorder="1" applyAlignment="1">
      <alignment horizontal="center" vertical="center" wrapText="1"/>
    </xf>
    <xf numFmtId="167" fontId="11" fillId="0" borderId="99" xfId="5" applyNumberFormat="1" applyFont="1" applyBorder="1" applyAlignment="1">
      <alignment horizontal="center" vertical="center" wrapText="1"/>
    </xf>
    <xf numFmtId="49" fontId="53" fillId="30" borderId="49" xfId="0" applyNumberFormat="1" applyFont="1" applyFill="1" applyBorder="1" applyAlignment="1">
      <alignment horizontal="center" vertical="center" wrapText="1"/>
    </xf>
    <xf numFmtId="49" fontId="53" fillId="30" borderId="0" xfId="0" applyNumberFormat="1" applyFont="1" applyFill="1" applyBorder="1" applyAlignment="1">
      <alignment horizontal="center" vertical="center" wrapText="1"/>
    </xf>
    <xf numFmtId="0" fontId="21" fillId="4" borderId="26" xfId="0" applyFont="1" applyFill="1" applyBorder="1" applyAlignment="1">
      <alignment horizontal="center"/>
    </xf>
    <xf numFmtId="0" fontId="21" fillId="4" borderId="20" xfId="0" applyFont="1" applyFill="1" applyBorder="1" applyAlignment="1">
      <alignment horizontal="center"/>
    </xf>
    <xf numFmtId="0" fontId="21" fillId="0" borderId="26" xfId="0" applyFont="1" applyFill="1" applyBorder="1" applyAlignment="1">
      <alignment horizontal="center"/>
    </xf>
    <xf numFmtId="0" fontId="21" fillId="0" borderId="56" xfId="0" applyFont="1" applyFill="1" applyBorder="1" applyAlignment="1">
      <alignment horizontal="center"/>
    </xf>
    <xf numFmtId="0" fontId="23" fillId="3" borderId="16" xfId="0" applyFont="1" applyFill="1" applyBorder="1" applyAlignment="1"/>
    <xf numFmtId="0" fontId="65" fillId="15" borderId="1" xfId="0" applyFont="1" applyFill="1" applyBorder="1" applyAlignment="1" applyProtection="1">
      <alignment horizontal="center"/>
    </xf>
    <xf numFmtId="0" fontId="66" fillId="17" borderId="13" xfId="0" applyFont="1" applyFill="1" applyBorder="1" applyAlignment="1" applyProtection="1">
      <alignment horizontal="center" wrapText="1"/>
    </xf>
    <xf numFmtId="0" fontId="67" fillId="17" borderId="0" xfId="0" applyFont="1" applyFill="1" applyBorder="1" applyAlignment="1" applyProtection="1">
      <alignment horizontal="left" vertical="top" wrapText="1"/>
    </xf>
    <xf numFmtId="0" fontId="66" fillId="17" borderId="0" xfId="0" applyFont="1" applyFill="1" applyBorder="1" applyAlignment="1" applyProtection="1">
      <alignment horizontal="left" vertical="top" wrapText="1"/>
    </xf>
  </cellXfs>
  <cellStyles count="12">
    <cellStyle name="Bad" xfId="3" builtinId="27"/>
    <cellStyle name="Comma" xfId="5" builtinId="3"/>
    <cellStyle name="Good" xfId="2" builtinId="26"/>
    <cellStyle name="Hipervínculo 2" xfId="7" xr:uid="{00000000-0005-0000-0000-000002000000}"/>
    <cellStyle name="Hyperlink" xfId="1" builtinId="8"/>
    <cellStyle name="Millares 3" xfId="10" xr:uid="{00000000-0005-0000-0000-000005000000}"/>
    <cellStyle name="Moneda 2" xfId="11" xr:uid="{00000000-0005-0000-0000-000006000000}"/>
    <cellStyle name="Neutral" xfId="4" builtinId="28"/>
    <cellStyle name="Normal" xfId="0" builtinId="0"/>
    <cellStyle name="Normal 2" xfId="8" xr:uid="{00000000-0005-0000-0000-000009000000}"/>
    <cellStyle name="Normal 3" xfId="9" xr:uid="{00000000-0005-0000-0000-00000A000000}"/>
    <cellStyle name="Percent" xfId="6" builtinId="5"/>
  </cellStyles>
  <dxfs count="36">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
      <fill>
        <patternFill>
          <bgColor theme="9"/>
        </patternFill>
      </fill>
    </dxf>
    <dxf>
      <fill>
        <patternFill>
          <bgColor theme="7" tint="0.3999450666829432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1451664</xdr:colOff>
      <xdr:row>4</xdr:row>
      <xdr:rowOff>8163</xdr:rowOff>
    </xdr:to>
    <xdr:pic>
      <xdr:nvPicPr>
        <xdr:cNvPr id="5" name="logo-image" descr="Home">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23090" cy="997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montenegro\Desktop\Informe%20al%20donante\Contraparte\Aportes%20comprometidos%20por%20GA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los.montenegro\Desktop\Informe%20al%20donante\TABS\Procure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rlos.montenegro\Downloads\result%20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lio.rojas\Downloads\PPR%202015%20Ecuador%20v4%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K2">
            <v>0</v>
          </cell>
          <cell r="L2">
            <v>0</v>
          </cell>
          <cell r="M2">
            <v>0</v>
          </cell>
          <cell r="N2">
            <v>0</v>
          </cell>
          <cell r="O2">
            <v>0</v>
          </cell>
          <cell r="P2">
            <v>0</v>
          </cell>
          <cell r="Q2">
            <v>0</v>
          </cell>
        </row>
        <row r="3">
          <cell r="K3">
            <v>0</v>
          </cell>
          <cell r="L3" t="str">
            <v>Financial information:  cumulative from project start to December 2015</v>
          </cell>
          <cell r="M3">
            <v>0</v>
          </cell>
          <cell r="N3">
            <v>0</v>
          </cell>
          <cell r="O3">
            <v>0</v>
          </cell>
          <cell r="P3">
            <v>0</v>
          </cell>
          <cell r="Q3">
            <v>0</v>
          </cell>
        </row>
        <row r="4">
          <cell r="K4">
            <v>0</v>
          </cell>
          <cell r="L4">
            <v>0</v>
          </cell>
          <cell r="M4">
            <v>0</v>
          </cell>
          <cell r="N4">
            <v>0</v>
          </cell>
          <cell r="O4">
            <v>0</v>
          </cell>
          <cell r="P4">
            <v>0</v>
          </cell>
          <cell r="Q4">
            <v>0</v>
          </cell>
        </row>
        <row r="5">
          <cell r="K5">
            <v>0</v>
          </cell>
          <cell r="L5">
            <v>0</v>
          </cell>
          <cell r="M5">
            <v>0</v>
          </cell>
          <cell r="N5">
            <v>0</v>
          </cell>
          <cell r="O5">
            <v>0</v>
          </cell>
          <cell r="P5">
            <v>0</v>
          </cell>
          <cell r="Q5">
            <v>0</v>
          </cell>
        </row>
        <row r="6">
          <cell r="K6">
            <v>0</v>
          </cell>
          <cell r="L6">
            <v>0</v>
          </cell>
          <cell r="M6">
            <v>0</v>
          </cell>
          <cell r="N6">
            <v>0</v>
          </cell>
          <cell r="O6">
            <v>0</v>
          </cell>
          <cell r="P6">
            <v>0</v>
          </cell>
          <cell r="Q6">
            <v>0</v>
          </cell>
        </row>
        <row r="7">
          <cell r="K7">
            <v>0</v>
          </cell>
          <cell r="L7" t="str">
            <v xml:space="preserve">DISBURSEMENT OF AF GRANT FUNDS </v>
          </cell>
          <cell r="M7">
            <v>0</v>
          </cell>
          <cell r="N7">
            <v>6309767</v>
          </cell>
          <cell r="O7">
            <v>0</v>
          </cell>
          <cell r="P7">
            <v>0</v>
          </cell>
          <cell r="Q7">
            <v>0</v>
          </cell>
        </row>
        <row r="8">
          <cell r="K8">
            <v>0</v>
          </cell>
          <cell r="L8" t="str">
            <v>How much of the total AF grant as noted in Project Document plus any project preparation grant has been spent to date?</v>
          </cell>
          <cell r="M8">
            <v>0</v>
          </cell>
          <cell r="N8">
            <v>0</v>
          </cell>
          <cell r="O8">
            <v>0</v>
          </cell>
          <cell r="P8">
            <v>0</v>
          </cell>
          <cell r="Q8">
            <v>0</v>
          </cell>
        </row>
        <row r="9">
          <cell r="K9">
            <v>0</v>
          </cell>
          <cell r="L9" t="str">
            <v>Estimated cumulative total disbursement as of December 2015</v>
          </cell>
          <cell r="M9">
            <v>0</v>
          </cell>
          <cell r="N9">
            <v>2270953.1269999999</v>
          </cell>
          <cell r="O9">
            <v>0</v>
          </cell>
          <cell r="P9">
            <v>0</v>
          </cell>
          <cell r="Q9">
            <v>0</v>
          </cell>
        </row>
        <row r="10">
          <cell r="K10">
            <v>0</v>
          </cell>
          <cell r="L10" t="str">
            <v>Add any comments on AF Grant Funds. (word limit=200)</v>
          </cell>
          <cell r="M10">
            <v>0</v>
          </cell>
          <cell r="N10" t="str">
            <v xml:space="preserve">Under a harmonized approach to cash transfers (HACT), this amount includes only expenses made by: a) WFP on behalf of MAE - executing agency, b) MAE as national executing agency; c) CCRJ as local executing partner; and d) GAD PP as local executing partner.
The amount of $ 2.270.953 is an accumulative expense amount up to December 31st, 2015 and represents 52% of actual disbursement of AF. The amount for 2015 (January to December) is US$ 853.840,13
 </v>
          </cell>
          <cell r="O10">
            <v>0</v>
          </cell>
          <cell r="P10">
            <v>0</v>
          </cell>
          <cell r="Q10">
            <v>0</v>
          </cell>
        </row>
        <row r="11">
          <cell r="K11">
            <v>0</v>
          </cell>
          <cell r="L11">
            <v>0</v>
          </cell>
          <cell r="M11">
            <v>0</v>
          </cell>
          <cell r="N11">
            <v>0</v>
          </cell>
          <cell r="O11">
            <v>0</v>
          </cell>
          <cell r="P11">
            <v>0</v>
          </cell>
          <cell r="Q11">
            <v>0</v>
          </cell>
        </row>
        <row r="12">
          <cell r="K12">
            <v>0</v>
          </cell>
          <cell r="L12" t="str">
            <v xml:space="preserve">INVESTMENT INCOME </v>
          </cell>
          <cell r="M12">
            <v>0</v>
          </cell>
          <cell r="N12">
            <v>0</v>
          </cell>
          <cell r="O12">
            <v>0</v>
          </cell>
          <cell r="P12">
            <v>0</v>
          </cell>
          <cell r="Q12">
            <v>0</v>
          </cell>
        </row>
        <row r="13">
          <cell r="K13">
            <v>0</v>
          </cell>
          <cell r="L13" t="str">
            <v>Amount of annual investment income generated from the Adaptation Fund’s grant</v>
          </cell>
          <cell r="M13">
            <v>0</v>
          </cell>
          <cell r="N13">
            <v>0</v>
          </cell>
          <cell r="O13">
            <v>0</v>
          </cell>
          <cell r="P13">
            <v>0</v>
          </cell>
          <cell r="Q13">
            <v>0</v>
          </cell>
        </row>
        <row r="14">
          <cell r="K14">
            <v>0</v>
          </cell>
          <cell r="L14">
            <v>0</v>
          </cell>
          <cell r="M14">
            <v>0</v>
          </cell>
          <cell r="N14">
            <v>0</v>
          </cell>
          <cell r="O14">
            <v>0</v>
          </cell>
          <cell r="P14">
            <v>0</v>
          </cell>
          <cell r="Q14">
            <v>0</v>
          </cell>
        </row>
        <row r="15">
          <cell r="K15">
            <v>0</v>
          </cell>
          <cell r="L15" t="str">
            <v>EXPENDITURE DATA</v>
          </cell>
          <cell r="M15">
            <v>0</v>
          </cell>
          <cell r="N15">
            <v>0</v>
          </cell>
          <cell r="O15">
            <v>0</v>
          </cell>
          <cell r="P15">
            <v>0</v>
          </cell>
          <cell r="Q15">
            <v>0</v>
          </cell>
        </row>
        <row r="16">
          <cell r="K16">
            <v>0</v>
          </cell>
          <cell r="L16" t="str">
            <v>List output and corresponding amount spent for the current reporting period</v>
          </cell>
          <cell r="M16">
            <v>0</v>
          </cell>
          <cell r="N16" t="str">
            <v>ITEM / ACTIVITY / ACTION</v>
          </cell>
          <cell r="O16" t="str">
            <v>AMOUNT</v>
          </cell>
          <cell r="P16">
            <v>0</v>
          </cell>
          <cell r="Q16">
            <v>0</v>
          </cell>
        </row>
        <row r="17">
          <cell r="K17">
            <v>0</v>
          </cell>
          <cell r="L17">
            <v>0</v>
          </cell>
          <cell r="M17">
            <v>0</v>
          </cell>
          <cell r="N17" t="str">
            <v>1.1.1. Parishes in targeted cantons trained in climate change threats and adaptation measures which reduce vulnerability, in particular related to food security</v>
          </cell>
          <cell r="O17">
            <v>1696.28</v>
          </cell>
          <cell r="P17">
            <v>0</v>
          </cell>
          <cell r="Q17">
            <v>0</v>
          </cell>
        </row>
        <row r="18">
          <cell r="K18">
            <v>0</v>
          </cell>
          <cell r="L18">
            <v>0</v>
          </cell>
          <cell r="M18">
            <v>0</v>
          </cell>
          <cell r="N18" t="str">
            <v>1.1.2. Targeted parishes participate in adaptation and risk reduction awareness activities</v>
          </cell>
          <cell r="O18">
            <v>2544.42</v>
          </cell>
          <cell r="P18">
            <v>0</v>
          </cell>
          <cell r="Q18">
            <v>0</v>
          </cell>
        </row>
        <row r="19">
          <cell r="K19">
            <v>0</v>
          </cell>
          <cell r="L19">
            <v>0</v>
          </cell>
          <cell r="M19">
            <v>0</v>
          </cell>
          <cell r="N19" t="str">
            <v>1.1.3. Food security and gender considerations integrated in all adaptation training programs</v>
          </cell>
          <cell r="O19">
            <v>7915.96</v>
          </cell>
          <cell r="P19">
            <v>0</v>
          </cell>
          <cell r="Q19">
            <v>0</v>
          </cell>
        </row>
        <row r="20">
          <cell r="K20">
            <v>0</v>
          </cell>
          <cell r="L20">
            <v>0</v>
          </cell>
          <cell r="M20">
            <v>0</v>
          </cell>
          <cell r="N20" t="str">
            <v>1.2.1.  Local adaptation plans developed to reduce vulnerabilities to climate change induced food insecurity in targeted areas</v>
          </cell>
          <cell r="O20">
            <v>2261.6999999999998</v>
          </cell>
          <cell r="P20">
            <v>0</v>
          </cell>
          <cell r="Q20">
            <v>0</v>
          </cell>
        </row>
        <row r="21">
          <cell r="K21">
            <v>0</v>
          </cell>
          <cell r="L21">
            <v>0</v>
          </cell>
          <cell r="M21">
            <v>0</v>
          </cell>
          <cell r="N21" t="str">
            <v>1.2.2. Community participation in processes to develop adaptation plans in targeted parishes</v>
          </cell>
          <cell r="O21">
            <v>8198.6769999999997</v>
          </cell>
          <cell r="P21">
            <v>0</v>
          </cell>
          <cell r="Q21">
            <v>0</v>
          </cell>
        </row>
        <row r="22">
          <cell r="K22">
            <v>0</v>
          </cell>
          <cell r="L22">
            <v>0</v>
          </cell>
          <cell r="M22">
            <v>0</v>
          </cell>
          <cell r="N22" t="str">
            <v>1.2.3. Agreements developed and signed among targeted parishes, GADPP or CCRJ, MAE and WFP to implement adaptation actions</v>
          </cell>
          <cell r="O22">
            <v>14135.65</v>
          </cell>
          <cell r="P22">
            <v>0</v>
          </cell>
          <cell r="Q22">
            <v>0</v>
          </cell>
        </row>
        <row r="23">
          <cell r="K23">
            <v>0</v>
          </cell>
          <cell r="L23">
            <v>0</v>
          </cell>
          <cell r="M23">
            <v>0</v>
          </cell>
          <cell r="N23" t="str">
            <v>1.2.4. Women participated in processes and decision making to develop adaptation plans</v>
          </cell>
          <cell r="O23">
            <v>3706.83</v>
          </cell>
          <cell r="P23">
            <v>0</v>
          </cell>
          <cell r="Q23">
            <v>0</v>
          </cell>
        </row>
        <row r="24">
          <cell r="K24">
            <v>0</v>
          </cell>
          <cell r="L24">
            <v>0</v>
          </cell>
          <cell r="M24">
            <v>0</v>
          </cell>
          <cell r="N24" t="str">
            <v>1.3.1. A climatic information system, including monitoring of climatic events, designed and implemented in each targeted areas in accordance with local context</v>
          </cell>
          <cell r="O24">
            <v>78446.06</v>
          </cell>
          <cell r="P24">
            <v>0</v>
          </cell>
          <cell r="Q24">
            <v>0</v>
          </cell>
        </row>
        <row r="25">
          <cell r="K25">
            <v>0</v>
          </cell>
          <cell r="L25">
            <v>0</v>
          </cell>
          <cell r="M25">
            <v>0</v>
          </cell>
          <cell r="N25" t="str">
            <v>1.3.2. Monitoring system to track project results and lessons learned</v>
          </cell>
          <cell r="O25">
            <v>19755.87</v>
          </cell>
          <cell r="P25">
            <v>0</v>
          </cell>
          <cell r="Q25">
            <v>0</v>
          </cell>
        </row>
        <row r="26">
          <cell r="K26">
            <v>0</v>
          </cell>
          <cell r="L26">
            <v>0</v>
          </cell>
          <cell r="M26">
            <v>0</v>
          </cell>
          <cell r="N26" t="str">
            <v>2.1.1. Concrete adaptation measures based on parish adaptation plans are designed</v>
          </cell>
          <cell r="O26">
            <v>22372.99</v>
          </cell>
          <cell r="P26">
            <v>0</v>
          </cell>
          <cell r="Q26">
            <v>0</v>
          </cell>
        </row>
        <row r="27">
          <cell r="K27">
            <v>0</v>
          </cell>
          <cell r="L27">
            <v>0</v>
          </cell>
          <cell r="M27">
            <v>0</v>
          </cell>
          <cell r="N27" t="str">
            <v>2.1.2. Adaptation to climate change measures (physical assets, natural assets and technologies) are implemented according with the parishes adaptation plans</v>
          </cell>
          <cell r="O27">
            <v>616581.76</v>
          </cell>
          <cell r="P27">
            <v>0</v>
          </cell>
          <cell r="Q27">
            <v>0</v>
          </cell>
        </row>
        <row r="28">
          <cell r="K28">
            <v>0</v>
          </cell>
          <cell r="L28">
            <v>0</v>
          </cell>
          <cell r="M28">
            <v>0</v>
          </cell>
          <cell r="N28" t="str">
            <v>2.1.3. Implementation strategy includes approach for the use of incentives</v>
          </cell>
          <cell r="O28">
            <v>0</v>
          </cell>
          <cell r="P28">
            <v>0</v>
          </cell>
          <cell r="Q28">
            <v>0</v>
          </cell>
        </row>
        <row r="29">
          <cell r="K29">
            <v>0</v>
          </cell>
          <cell r="L29">
            <v>0</v>
          </cell>
          <cell r="M29">
            <v>0</v>
          </cell>
          <cell r="N29" t="str">
            <v>2.2.1. Community participation, in particular of women, guide decision making processes for project execution</v>
          </cell>
          <cell r="O29">
            <v>4257.8999999999996</v>
          </cell>
          <cell r="P29">
            <v>0</v>
          </cell>
          <cell r="Q29">
            <v>0</v>
          </cell>
        </row>
        <row r="30">
          <cell r="K30">
            <v>0</v>
          </cell>
          <cell r="L30">
            <v>0</v>
          </cell>
          <cell r="M30">
            <v>0</v>
          </cell>
          <cell r="N30" t="str">
            <v>2.2.2. Parishes share success stories and lessons learned</v>
          </cell>
          <cell r="O30">
            <v>0</v>
          </cell>
          <cell r="P30">
            <v>0</v>
          </cell>
          <cell r="Q30">
            <v>0</v>
          </cell>
        </row>
        <row r="31">
          <cell r="K31">
            <v>0</v>
          </cell>
          <cell r="L31">
            <v>0</v>
          </cell>
          <cell r="M31">
            <v>0</v>
          </cell>
          <cell r="N31" t="str">
            <v>Execution Cost</v>
          </cell>
          <cell r="O31">
            <v>71966.03</v>
          </cell>
          <cell r="P31">
            <v>0</v>
          </cell>
          <cell r="Q31">
            <v>0</v>
          </cell>
        </row>
        <row r="32">
          <cell r="K32">
            <v>0</v>
          </cell>
          <cell r="L32">
            <v>0</v>
          </cell>
          <cell r="M32">
            <v>0</v>
          </cell>
          <cell r="N32" t="str">
            <v>TOTAL</v>
          </cell>
          <cell r="O32">
            <v>853840.12699999998</v>
          </cell>
          <cell r="P32">
            <v>0</v>
          </cell>
          <cell r="Q32">
            <v>0</v>
          </cell>
        </row>
        <row r="33">
          <cell r="K33">
            <v>0</v>
          </cell>
          <cell r="L33">
            <v>0</v>
          </cell>
          <cell r="M33">
            <v>0</v>
          </cell>
          <cell r="N33">
            <v>0</v>
          </cell>
          <cell r="O33">
            <v>781874.09699999995</v>
          </cell>
          <cell r="P33">
            <v>0</v>
          </cell>
          <cell r="Q33">
            <v>0</v>
          </cell>
        </row>
        <row r="34">
          <cell r="K34">
            <v>0</v>
          </cell>
          <cell r="L34" t="str">
            <v>PLANNED EXPENDITURE SCHEDULE</v>
          </cell>
          <cell r="M34">
            <v>0</v>
          </cell>
          <cell r="N34">
            <v>0</v>
          </cell>
          <cell r="O34">
            <v>0</v>
          </cell>
          <cell r="P34">
            <v>0</v>
          </cell>
          <cell r="Q34">
            <v>0</v>
          </cell>
        </row>
        <row r="35">
          <cell r="K35">
            <v>0</v>
          </cell>
          <cell r="L35" t="str">
            <v>List outputs planned and corresponding projected cost for the upcoming reporting period</v>
          </cell>
          <cell r="M35">
            <v>0</v>
          </cell>
          <cell r="N35" t="str">
            <v>ITEM / ACTIVITY / ACTION</v>
          </cell>
          <cell r="O35" t="str">
            <v>PROJECTED COST</v>
          </cell>
          <cell r="P35" t="str">
            <v>Est. Completion Date</v>
          </cell>
          <cell r="Q35">
            <v>0</v>
          </cell>
        </row>
        <row r="36">
          <cell r="K36">
            <v>0</v>
          </cell>
          <cell r="L36">
            <v>0</v>
          </cell>
          <cell r="M36">
            <v>0</v>
          </cell>
          <cell r="N36" t="str">
            <v>1.1.1. Parishes in targeted cantons trained in climate change threats and adaptation measures which reduce vulnerability, in particular related to food security</v>
          </cell>
          <cell r="O36">
            <v>0</v>
          </cell>
          <cell r="P36" t="str">
            <v>December 2016</v>
          </cell>
          <cell r="Q36">
            <v>0</v>
          </cell>
        </row>
        <row r="37">
          <cell r="K37">
            <v>0</v>
          </cell>
          <cell r="L37">
            <v>0</v>
          </cell>
          <cell r="M37">
            <v>0</v>
          </cell>
          <cell r="N37" t="str">
            <v>1.1.2. Targeted parishes participate in adaptation and risk reduction awareness activities</v>
          </cell>
          <cell r="O37">
            <v>11948.45</v>
          </cell>
          <cell r="P37" t="str">
            <v>December 2016</v>
          </cell>
          <cell r="Q37">
            <v>0</v>
          </cell>
        </row>
        <row r="38">
          <cell r="K38">
            <v>0</v>
          </cell>
          <cell r="L38">
            <v>0</v>
          </cell>
          <cell r="M38">
            <v>0</v>
          </cell>
          <cell r="N38" t="str">
            <v>1.1.3. Food security and gender considerations integrated in all adaptation training programs</v>
          </cell>
          <cell r="O38">
            <v>6768</v>
          </cell>
          <cell r="P38" t="str">
            <v>December 2016</v>
          </cell>
          <cell r="Q38">
            <v>0</v>
          </cell>
        </row>
        <row r="39">
          <cell r="K39">
            <v>0</v>
          </cell>
          <cell r="L39">
            <v>0</v>
          </cell>
          <cell r="M39">
            <v>0</v>
          </cell>
          <cell r="N39" t="str">
            <v>1.2.1.  Local adaptation plans developed to reduce vulnerabilities to climate change induced food insecurity in targeted areas</v>
          </cell>
          <cell r="O39">
            <v>5400</v>
          </cell>
          <cell r="P39" t="str">
            <v>December 2016</v>
          </cell>
          <cell r="Q39">
            <v>0</v>
          </cell>
        </row>
        <row r="40">
          <cell r="K40">
            <v>0</v>
          </cell>
          <cell r="L40">
            <v>0</v>
          </cell>
          <cell r="M40">
            <v>0</v>
          </cell>
          <cell r="N40" t="str">
            <v>1.2.2. Community participation in processes to develop adaptation plans in targeted parishes</v>
          </cell>
          <cell r="O40">
            <v>5358</v>
          </cell>
          <cell r="P40" t="str">
            <v>December 2016</v>
          </cell>
          <cell r="Q40">
            <v>0</v>
          </cell>
        </row>
        <row r="41">
          <cell r="K41">
            <v>0</v>
          </cell>
          <cell r="L41">
            <v>0</v>
          </cell>
          <cell r="M41">
            <v>0</v>
          </cell>
          <cell r="N41" t="str">
            <v>1.2.3. Agreements developed and signed among targeted parishes, GADPP or CCRJ, MAE and WFP to implement adaptation actions</v>
          </cell>
          <cell r="O41">
            <v>14100</v>
          </cell>
          <cell r="P41" t="str">
            <v>December 2016</v>
          </cell>
          <cell r="Q41">
            <v>0</v>
          </cell>
        </row>
        <row r="42">
          <cell r="K42">
            <v>0</v>
          </cell>
          <cell r="L42">
            <v>0</v>
          </cell>
          <cell r="M42">
            <v>0</v>
          </cell>
          <cell r="N42" t="str">
            <v>1.2.4. Women participated in processes and decision making to develop adaptation plans</v>
          </cell>
          <cell r="O42">
            <v>4521.6499999999996</v>
          </cell>
          <cell r="P42" t="str">
            <v>December 2016</v>
          </cell>
          <cell r="Q42">
            <v>0</v>
          </cell>
        </row>
        <row r="43">
          <cell r="K43">
            <v>0</v>
          </cell>
          <cell r="L43">
            <v>0</v>
          </cell>
          <cell r="M43">
            <v>0</v>
          </cell>
          <cell r="N43" t="str">
            <v>1.3.1. A climatic information system, including monitoring of climatic events, designed and implemented in each targeted areas in accordance with local context</v>
          </cell>
          <cell r="O43">
            <v>427321.48</v>
          </cell>
          <cell r="P43" t="str">
            <v>December 2016</v>
          </cell>
          <cell r="Q43">
            <v>0</v>
          </cell>
        </row>
        <row r="44">
          <cell r="K44">
            <v>0</v>
          </cell>
          <cell r="L44">
            <v>0</v>
          </cell>
          <cell r="M44">
            <v>0</v>
          </cell>
          <cell r="N44" t="str">
            <v>1.3.2. Monitoring system to track project results and lessons learned</v>
          </cell>
          <cell r="O44">
            <v>10000</v>
          </cell>
          <cell r="P44" t="str">
            <v>December 2016</v>
          </cell>
          <cell r="Q44">
            <v>0</v>
          </cell>
        </row>
        <row r="45">
          <cell r="K45">
            <v>0</v>
          </cell>
          <cell r="L45">
            <v>0</v>
          </cell>
          <cell r="M45">
            <v>0</v>
          </cell>
          <cell r="N45" t="str">
            <v>2.1.1. Concrete adaptation measures based on parish adaptation plans are designed</v>
          </cell>
          <cell r="O45">
            <v>52845.919999999998</v>
          </cell>
          <cell r="P45" t="str">
            <v>December 2016</v>
          </cell>
          <cell r="Q45">
            <v>0</v>
          </cell>
        </row>
        <row r="46">
          <cell r="K46">
            <v>0</v>
          </cell>
          <cell r="L46">
            <v>0</v>
          </cell>
          <cell r="M46">
            <v>0</v>
          </cell>
          <cell r="N46" t="str">
            <v>2.1.2. Adaptation to climate change measures (physical assets, natural assets and technologies) are implemented according with the parishes adaptation plans</v>
          </cell>
          <cell r="O46">
            <v>2418541.67</v>
          </cell>
          <cell r="P46" t="str">
            <v>December 2016</v>
          </cell>
          <cell r="Q46">
            <v>0</v>
          </cell>
        </row>
        <row r="47">
          <cell r="K47">
            <v>0</v>
          </cell>
          <cell r="L47">
            <v>0</v>
          </cell>
          <cell r="M47">
            <v>0</v>
          </cell>
          <cell r="N47" t="str">
            <v>2.1.3. Implementation strategy includes approach for the use of incentives</v>
          </cell>
          <cell r="O47">
            <v>447000</v>
          </cell>
          <cell r="P47" t="str">
            <v>December 2016</v>
          </cell>
          <cell r="Q47">
            <v>0</v>
          </cell>
        </row>
        <row r="48">
          <cell r="K48">
            <v>0</v>
          </cell>
          <cell r="L48">
            <v>0</v>
          </cell>
          <cell r="M48">
            <v>0</v>
          </cell>
          <cell r="N48" t="str">
            <v>2.2.1. Community participation, in particular of women, guide decision making processes for project execution</v>
          </cell>
          <cell r="O48">
            <v>33511.85</v>
          </cell>
          <cell r="P48" t="str">
            <v>December 2016</v>
          </cell>
          <cell r="Q48">
            <v>0</v>
          </cell>
        </row>
        <row r="49">
          <cell r="K49">
            <v>0</v>
          </cell>
          <cell r="L49">
            <v>0</v>
          </cell>
          <cell r="M49">
            <v>0</v>
          </cell>
          <cell r="N49" t="str">
            <v>2.2.2. Parishes share success stories and lessons learned</v>
          </cell>
          <cell r="O49">
            <v>61924</v>
          </cell>
          <cell r="P49" t="str">
            <v>December 2016</v>
          </cell>
          <cell r="Q49">
            <v>0</v>
          </cell>
        </row>
        <row r="50">
          <cell r="K50">
            <v>0</v>
          </cell>
          <cell r="L50">
            <v>0</v>
          </cell>
          <cell r="M50">
            <v>0</v>
          </cell>
          <cell r="N50" t="str">
            <v>Execution Cost</v>
          </cell>
          <cell r="O50">
            <v>90000</v>
          </cell>
          <cell r="P50" t="str">
            <v>December 2016</v>
          </cell>
          <cell r="Q50">
            <v>0</v>
          </cell>
        </row>
        <row r="51">
          <cell r="K51">
            <v>0</v>
          </cell>
          <cell r="L51">
            <v>0</v>
          </cell>
          <cell r="M51">
            <v>0</v>
          </cell>
          <cell r="N51" t="str">
            <v>TOTAL</v>
          </cell>
          <cell r="O51">
            <v>3589241.02</v>
          </cell>
          <cell r="P51">
            <v>0</v>
          </cell>
          <cell r="Q51">
            <v>0</v>
          </cell>
        </row>
        <row r="52">
          <cell r="K52">
            <v>0</v>
          </cell>
          <cell r="L52">
            <v>0</v>
          </cell>
          <cell r="M52">
            <v>0</v>
          </cell>
          <cell r="N52">
            <v>0</v>
          </cell>
          <cell r="O52">
            <v>0</v>
          </cell>
          <cell r="P52">
            <v>0</v>
          </cell>
          <cell r="Q52">
            <v>0</v>
          </cell>
        </row>
        <row r="53">
          <cell r="K53">
            <v>0</v>
          </cell>
          <cell r="L53" t="str">
            <v xml:space="preserve">ACTUAL CO-FINANCING (If the MTR or TE have not been undertaken this reporting period, DO NOT report on actual co-financing.) </v>
          </cell>
          <cell r="M53">
            <v>0</v>
          </cell>
          <cell r="N53">
            <v>0</v>
          </cell>
          <cell r="O53">
            <v>0</v>
          </cell>
          <cell r="P53">
            <v>0</v>
          </cell>
          <cell r="Q53">
            <v>0</v>
          </cell>
        </row>
        <row r="54">
          <cell r="K54">
            <v>0</v>
          </cell>
          <cell r="L54" t="str">
            <v>How much of the total co-financing as committed in the Project Document has actually been realized?</v>
          </cell>
          <cell r="M54">
            <v>0</v>
          </cell>
          <cell r="N54" t="str">
            <v>n/a</v>
          </cell>
          <cell r="O54">
            <v>0</v>
          </cell>
          <cell r="P54">
            <v>0</v>
          </cell>
          <cell r="Q54">
            <v>0</v>
          </cell>
        </row>
        <row r="55">
          <cell r="K55">
            <v>0</v>
          </cell>
          <cell r="L55">
            <v>0</v>
          </cell>
          <cell r="M55">
            <v>0</v>
          </cell>
          <cell r="N55">
            <v>0</v>
          </cell>
          <cell r="O55">
            <v>0</v>
          </cell>
          <cell r="P55">
            <v>0</v>
          </cell>
          <cell r="Q55">
            <v>0</v>
          </cell>
        </row>
        <row r="56">
          <cell r="K56">
            <v>0</v>
          </cell>
          <cell r="L56" t="str">
            <v xml:space="preserve">Estimated cumulative actual co-financing as verified during Mid-term Review (MTR) or Terminal Evaluation (TE). </v>
          </cell>
          <cell r="M56">
            <v>0</v>
          </cell>
          <cell r="N56">
            <v>590196</v>
          </cell>
          <cell r="O56">
            <v>0</v>
          </cell>
          <cell r="P56">
            <v>0</v>
          </cell>
          <cell r="Q56">
            <v>0</v>
          </cell>
        </row>
        <row r="57">
          <cell r="K57">
            <v>0</v>
          </cell>
          <cell r="L57" t="str">
            <v>Add any comments on actual co-financing in particular any issues related to the realization of in-kind, grant, credits, loans, equity, non-grant instruments and other types of co-financing. (word limit=200)</v>
          </cell>
          <cell r="M57">
            <v>0</v>
          </cell>
          <cell r="N57" t="str">
            <v>The amount confirmed at MTR corresponds to years 2013 and 2014.
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2013 US$ 112.985,00
MAE US$ 35.720,00
UNWomen US$ 77.265,00
2014 US$ 477.221,59
MAE US$ 242.222,42
GADPP US$ 107.070,00
CCRJ US$ 114.509,33
WFP US$ 13.419,84
2015 US$ 515.331,41
MAE US$ 292.989,16
GADPP US$ 85.156,86
CCRJ US$ 64.385,39
UN Women US$ 15.000,00
Local Governments US$ 39.800,00</v>
          </cell>
          <cell r="O57">
            <v>0</v>
          </cell>
          <cell r="P57">
            <v>0</v>
          </cell>
          <cell r="Q57">
            <v>0</v>
          </cell>
        </row>
        <row r="58">
          <cell r="K58">
            <v>0</v>
          </cell>
          <cell r="L58">
            <v>0</v>
          </cell>
          <cell r="M58">
            <v>0</v>
          </cell>
          <cell r="N58">
            <v>0</v>
          </cell>
          <cell r="O58">
            <v>0</v>
          </cell>
          <cell r="P58">
            <v>0</v>
          </cell>
          <cell r="Q58">
            <v>0</v>
          </cell>
        </row>
        <row r="59">
          <cell r="K59">
            <v>0</v>
          </cell>
          <cell r="L59">
            <v>0</v>
          </cell>
          <cell r="M59">
            <v>0</v>
          </cell>
          <cell r="N59">
            <v>0</v>
          </cell>
          <cell r="O59">
            <v>0</v>
          </cell>
          <cell r="P59">
            <v>0</v>
          </cell>
          <cell r="Q59">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Hoja1"/>
    </sheetNames>
    <sheetDataSet>
      <sheetData sheetId="0"/>
      <sheetData sheetId="1"/>
      <sheetData sheetId="2"/>
      <sheetData sheetId="3">
        <row r="2">
          <cell r="B2">
            <v>0</v>
          </cell>
          <cell r="C2">
            <v>0</v>
          </cell>
          <cell r="D2">
            <v>0</v>
          </cell>
          <cell r="E2">
            <v>0</v>
          </cell>
          <cell r="F2">
            <v>0</v>
          </cell>
          <cell r="G2">
            <v>0</v>
          </cell>
          <cell r="H2">
            <v>0</v>
          </cell>
          <cell r="I2">
            <v>0</v>
          </cell>
        </row>
        <row r="3">
          <cell r="B3">
            <v>0</v>
          </cell>
          <cell r="C3" t="str">
            <v>PROCUREMENT DATA</v>
          </cell>
          <cell r="D3">
            <v>0</v>
          </cell>
          <cell r="E3">
            <v>0</v>
          </cell>
          <cell r="F3">
            <v>0</v>
          </cell>
          <cell r="G3">
            <v>0</v>
          </cell>
          <cell r="H3">
            <v>0</v>
          </cell>
          <cell r="I3">
            <v>0</v>
          </cell>
        </row>
        <row r="4">
          <cell r="B4">
            <v>0</v>
          </cell>
          <cell r="C4">
            <v>0</v>
          </cell>
          <cell r="D4">
            <v>0</v>
          </cell>
          <cell r="E4">
            <v>0</v>
          </cell>
          <cell r="F4">
            <v>0</v>
          </cell>
          <cell r="G4">
            <v>0</v>
          </cell>
          <cell r="H4">
            <v>0</v>
          </cell>
          <cell r="I4">
            <v>0</v>
          </cell>
        </row>
        <row r="5">
          <cell r="B5">
            <v>0</v>
          </cell>
          <cell r="C5" t="str">
            <v>Please provide information for all contracts over $2.500 USD</v>
          </cell>
          <cell r="D5">
            <v>0</v>
          </cell>
          <cell r="E5">
            <v>0</v>
          </cell>
          <cell r="F5">
            <v>0</v>
          </cell>
          <cell r="G5">
            <v>0</v>
          </cell>
          <cell r="H5">
            <v>0</v>
          </cell>
          <cell r="I5">
            <v>0</v>
          </cell>
        </row>
        <row r="6">
          <cell r="B6">
            <v>0</v>
          </cell>
          <cell r="C6" t="str">
            <v>Please provide the number of  contracts under $2.500, signed during this reporting period:</v>
          </cell>
          <cell r="D6">
            <v>0</v>
          </cell>
          <cell r="E6">
            <v>0</v>
          </cell>
          <cell r="F6">
            <v>0</v>
          </cell>
          <cell r="G6">
            <v>0</v>
          </cell>
          <cell r="H6">
            <v>0</v>
          </cell>
          <cell r="I6">
            <v>0</v>
          </cell>
        </row>
        <row r="7">
          <cell r="B7">
            <v>0</v>
          </cell>
          <cell r="C7">
            <v>0</v>
          </cell>
          <cell r="D7">
            <v>0</v>
          </cell>
          <cell r="E7">
            <v>0</v>
          </cell>
          <cell r="F7">
            <v>0</v>
          </cell>
          <cell r="G7">
            <v>0</v>
          </cell>
          <cell r="H7">
            <v>0</v>
          </cell>
          <cell r="I7">
            <v>0</v>
          </cell>
        </row>
        <row r="8">
          <cell r="B8">
            <v>0</v>
          </cell>
          <cell r="C8" t="str">
            <v>LIST OF CONTRACTS</v>
          </cell>
          <cell r="D8">
            <v>0</v>
          </cell>
          <cell r="E8">
            <v>0</v>
          </cell>
          <cell r="F8">
            <v>0</v>
          </cell>
          <cell r="G8">
            <v>0</v>
          </cell>
          <cell r="H8">
            <v>0</v>
          </cell>
          <cell r="I8">
            <v>0</v>
          </cell>
        </row>
        <row r="9">
          <cell r="B9">
            <v>0</v>
          </cell>
          <cell r="C9" t="str">
            <v>List all contracts related to the project/program with signature dates</v>
          </cell>
          <cell r="D9">
            <v>0</v>
          </cell>
          <cell r="E9">
            <v>0</v>
          </cell>
          <cell r="F9">
            <v>0</v>
          </cell>
          <cell r="G9">
            <v>0</v>
          </cell>
          <cell r="H9">
            <v>0</v>
          </cell>
          <cell r="I9">
            <v>0</v>
          </cell>
        </row>
        <row r="10">
          <cell r="B10">
            <v>0</v>
          </cell>
          <cell r="C10" t="str">
            <v>Contract Type</v>
          </cell>
          <cell r="D10" t="str">
            <v>Agency / Contracted party</v>
          </cell>
          <cell r="E10" t="str">
            <v>Contract Value/Amount (USD)</v>
          </cell>
          <cell r="F10" t="str">
            <v>Signature Date</v>
          </cell>
          <cell r="G10" t="str">
            <v>Payment to Date</v>
          </cell>
          <cell r="H10" t="str">
            <v>Remaining Balance</v>
          </cell>
          <cell r="I10">
            <v>0</v>
          </cell>
        </row>
        <row r="11">
          <cell r="B11">
            <v>0</v>
          </cell>
          <cell r="C11" t="str">
            <v>Services</v>
          </cell>
          <cell r="D11" t="str">
            <v xml:space="preserve">MAE - Fundación INTERCOOPERATION, Vulnerability Analysis, Adaptation to Climate Change Plans and Measures for 12 parishes </v>
          </cell>
          <cell r="E11">
            <v>106968</v>
          </cell>
          <cell r="F11" t="str">
            <v>June 16, 2015</v>
          </cell>
          <cell r="G11">
            <v>101726.56999999999</v>
          </cell>
          <cell r="H11">
            <v>5241.4300000000076</v>
          </cell>
          <cell r="I11">
            <v>0</v>
          </cell>
        </row>
        <row r="12">
          <cell r="B12">
            <v>0</v>
          </cell>
          <cell r="C12" t="str">
            <v>Goods</v>
          </cell>
          <cell r="D12" t="str">
            <v>GAD PP - Torres Herrera Carlos
Irrigation materials</v>
          </cell>
          <cell r="E12">
            <v>37499</v>
          </cell>
          <cell r="F12" t="str">
            <v>May 15, 2015</v>
          </cell>
          <cell r="G12">
            <v>37499</v>
          </cell>
          <cell r="H12">
            <v>0</v>
          </cell>
          <cell r="I12">
            <v>0</v>
          </cell>
        </row>
        <row r="13">
          <cell r="B13">
            <v>0</v>
          </cell>
          <cell r="C13" t="str">
            <v>Goods</v>
          </cell>
          <cell r="D13" t="str">
            <v xml:space="preserve">GAD PP - MACCAFERRI S.A.
Irrigation materials </v>
          </cell>
          <cell r="E13">
            <v>50005.43</v>
          </cell>
          <cell r="F13" t="str">
            <v>May 11, 2015</v>
          </cell>
          <cell r="G13">
            <v>50005.43</v>
          </cell>
          <cell r="H13">
            <v>0</v>
          </cell>
          <cell r="I13">
            <v>0</v>
          </cell>
        </row>
        <row r="14">
          <cell r="B14">
            <v>0</v>
          </cell>
          <cell r="C14" t="str">
            <v>Goods</v>
          </cell>
          <cell r="D14" t="str">
            <v xml:space="preserve">GAD PP - MACCAFERRI S.A.
Irrigation materials </v>
          </cell>
          <cell r="E14">
            <v>46762.19</v>
          </cell>
          <cell r="F14" t="str">
            <v>May 14, 2015</v>
          </cell>
          <cell r="G14">
            <v>46762.19</v>
          </cell>
          <cell r="H14">
            <v>0</v>
          </cell>
          <cell r="I14">
            <v>0</v>
          </cell>
        </row>
        <row r="15">
          <cell r="B15">
            <v>0</v>
          </cell>
          <cell r="C15" t="str">
            <v>Goods</v>
          </cell>
          <cell r="D15" t="str">
            <v xml:space="preserve">GAD PP - MACCAFERRI S.A.
Irrigation materials </v>
          </cell>
          <cell r="E15">
            <v>43557.75</v>
          </cell>
          <cell r="F15" t="str">
            <v>August 21, 2015</v>
          </cell>
          <cell r="G15">
            <v>43557.75</v>
          </cell>
          <cell r="H15">
            <v>0</v>
          </cell>
          <cell r="I15">
            <v>0</v>
          </cell>
        </row>
        <row r="16">
          <cell r="B16">
            <v>0</v>
          </cell>
          <cell r="C16" t="str">
            <v>Goods</v>
          </cell>
          <cell r="D16" t="str">
            <v>GAD PP - 
PIVALTEC S.A. 
Irrigation materials</v>
          </cell>
          <cell r="E16">
            <v>52781.83</v>
          </cell>
          <cell r="F16" t="str">
            <v>September 8, 2015</v>
          </cell>
          <cell r="G16">
            <v>52781.83</v>
          </cell>
          <cell r="H16">
            <v>0</v>
          </cell>
          <cell r="I16">
            <v>0</v>
          </cell>
        </row>
        <row r="17">
          <cell r="B17">
            <v>0</v>
          </cell>
          <cell r="C17" t="str">
            <v>Goods</v>
          </cell>
          <cell r="D17" t="str">
            <v xml:space="preserve">GAD PP - MACCAFERRI S.A.
Irrigation materials </v>
          </cell>
          <cell r="E17">
            <v>36500</v>
          </cell>
          <cell r="F17" t="str">
            <v>October 6, 2015</v>
          </cell>
          <cell r="G17">
            <v>36500</v>
          </cell>
          <cell r="H17">
            <v>0</v>
          </cell>
          <cell r="I17">
            <v>0</v>
          </cell>
        </row>
        <row r="18">
          <cell r="B18">
            <v>0</v>
          </cell>
          <cell r="C18" t="str">
            <v>Personnel - National</v>
          </cell>
          <cell r="D18" t="str">
            <v>CCRJ - GONZALEZ GONZALEZ HOLGER RENAN
Local promoter of Urdaneta Parish for 4 months</v>
          </cell>
          <cell r="E18">
            <v>4400</v>
          </cell>
          <cell r="F18" t="str">
            <v>September 7, 2015</v>
          </cell>
          <cell r="G18">
            <v>1980</v>
          </cell>
          <cell r="H18">
            <v>2420</v>
          </cell>
          <cell r="I18">
            <v>0</v>
          </cell>
        </row>
        <row r="19">
          <cell r="B19">
            <v>0</v>
          </cell>
          <cell r="C19" t="str">
            <v>Goods</v>
          </cell>
          <cell r="D19" t="str">
            <v>CCRJ - PALAGUACHI GUARTAN INÉS LUCÍA
Irrigation materials</v>
          </cell>
          <cell r="E19">
            <v>38300</v>
          </cell>
          <cell r="F19" t="str">
            <v>September 14, 2015</v>
          </cell>
          <cell r="G19">
            <v>18767</v>
          </cell>
          <cell r="H19">
            <v>19533</v>
          </cell>
          <cell r="I19">
            <v>0</v>
          </cell>
        </row>
        <row r="20">
          <cell r="B20">
            <v>0</v>
          </cell>
          <cell r="C20" t="str">
            <v>Goods</v>
          </cell>
          <cell r="D20" t="str">
            <v>CCRJ - FLORES ASQUI, MARCELO ARMANDO
Organic fertilizer</v>
          </cell>
          <cell r="E20">
            <v>37000</v>
          </cell>
          <cell r="F20" t="str">
            <v>September 23, 2015</v>
          </cell>
          <cell r="G20">
            <v>18500</v>
          </cell>
          <cell r="H20">
            <v>18500</v>
          </cell>
          <cell r="I20">
            <v>0</v>
          </cell>
        </row>
        <row r="21">
          <cell r="B21">
            <v>0</v>
          </cell>
          <cell r="C21" t="str">
            <v>Services</v>
          </cell>
          <cell r="D21" t="str">
            <v>CCRJ - LUIS ALBERTO VALDEZ MOLINA
Transportation services for construction materials</v>
          </cell>
          <cell r="E21">
            <v>2768.5</v>
          </cell>
          <cell r="F21" t="str">
            <v>November 12, 2015</v>
          </cell>
          <cell r="G21">
            <v>2415</v>
          </cell>
          <cell r="H21">
            <v>353.5</v>
          </cell>
          <cell r="I21">
            <v>0</v>
          </cell>
        </row>
        <row r="22">
          <cell r="B22">
            <v>0</v>
          </cell>
          <cell r="C22" t="str">
            <v>Goods</v>
          </cell>
          <cell r="D22" t="str">
            <v>CCRJ -UCEM
Cement for irrigation infrastructure</v>
          </cell>
          <cell r="E22">
            <v>10918.2</v>
          </cell>
          <cell r="F22" t="str">
            <v>November 24, 2015</v>
          </cell>
          <cell r="G22">
            <v>9577.6</v>
          </cell>
          <cell r="H22">
            <v>1340.6000000000004</v>
          </cell>
          <cell r="I22">
            <v>0</v>
          </cell>
        </row>
        <row r="23">
          <cell r="B23">
            <v>0</v>
          </cell>
          <cell r="C23" t="str">
            <v>Personnel - National</v>
          </cell>
          <cell r="D23" t="str">
            <v>CCRJ - DELGADO VERDUGO PABLO LEONARDO
Design of irrigation infrastructure</v>
          </cell>
          <cell r="E23">
            <v>7250</v>
          </cell>
          <cell r="F23" t="str">
            <v>December 7, 2015</v>
          </cell>
          <cell r="G23">
            <v>6174</v>
          </cell>
          <cell r="H23">
            <v>1076</v>
          </cell>
          <cell r="I23">
            <v>0</v>
          </cell>
        </row>
        <row r="24">
          <cell r="B24">
            <v>0</v>
          </cell>
          <cell r="C24" t="str">
            <v>Services</v>
          </cell>
          <cell r="D24" t="str">
            <v>CCRJ -JAPON MEDINA ANGEL POLIVIO
Construction (workforce) of irrigation infrastructure</v>
          </cell>
          <cell r="E24">
            <v>2820</v>
          </cell>
          <cell r="F24" t="str">
            <v>December 7, 2015</v>
          </cell>
          <cell r="G24">
            <v>392</v>
          </cell>
          <cell r="H24">
            <v>2428</v>
          </cell>
          <cell r="I24">
            <v>0</v>
          </cell>
        </row>
        <row r="25">
          <cell r="B25">
            <v>0</v>
          </cell>
          <cell r="C25" t="str">
            <v>Personnel - National</v>
          </cell>
          <cell r="D25" t="str">
            <v>CCRJ - LUIS ALBERTO VINTIMILLA GONZÁLES
Design of irrigation infrastructure</v>
          </cell>
          <cell r="E25">
            <v>2650</v>
          </cell>
          <cell r="F25" t="str">
            <v>December 15, 2015</v>
          </cell>
          <cell r="G25">
            <v>1590</v>
          </cell>
          <cell r="H25">
            <v>1060</v>
          </cell>
          <cell r="I25">
            <v>0</v>
          </cell>
        </row>
        <row r="26">
          <cell r="B26">
            <v>0</v>
          </cell>
          <cell r="C26" t="str">
            <v>Personnel - National</v>
          </cell>
          <cell r="D26" t="str">
            <v>WFP - Javier Rojas, Project Manager</v>
          </cell>
          <cell r="E26">
            <v>127395.51428571428</v>
          </cell>
          <cell r="F26" t="str">
            <v>September 1, 2013</v>
          </cell>
          <cell r="G26">
            <v>95546.635714285716</v>
          </cell>
          <cell r="H26">
            <v>31848.878571428562</v>
          </cell>
          <cell r="I26">
            <v>0</v>
          </cell>
        </row>
        <row r="27">
          <cell r="B27">
            <v>0</v>
          </cell>
          <cell r="C27" t="str">
            <v>Personnel - National</v>
          </cell>
          <cell r="D27" t="str">
            <v>WFP - Mayra Salinas, Adaptation Measures Design for 3 parishes</v>
          </cell>
          <cell r="E27">
            <v>13500</v>
          </cell>
          <cell r="F27" t="str">
            <v>April 8, 2015</v>
          </cell>
          <cell r="G27">
            <v>13500</v>
          </cell>
          <cell r="H27">
            <v>0</v>
          </cell>
          <cell r="I27">
            <v>0</v>
          </cell>
        </row>
        <row r="28">
          <cell r="B28">
            <v>0</v>
          </cell>
          <cell r="C28" t="str">
            <v>Personnel - International</v>
          </cell>
          <cell r="D28" t="str">
            <v>WFP - Carlos Rodriguez-Ariza, MidTerm Evaluation</v>
          </cell>
          <cell r="E28">
            <v>15000</v>
          </cell>
          <cell r="F28" t="str">
            <v>March 2, 2015</v>
          </cell>
          <cell r="G28">
            <v>15000</v>
          </cell>
          <cell r="H28">
            <v>0</v>
          </cell>
          <cell r="I28">
            <v>0</v>
          </cell>
        </row>
        <row r="29">
          <cell r="B29">
            <v>0</v>
          </cell>
          <cell r="C29" t="str">
            <v>Memorandum of Understanding</v>
          </cell>
          <cell r="D29" t="str">
            <v>WFP - CIIFEN, Climatic Information System for Jubones</v>
          </cell>
          <cell r="E29">
            <v>335389.59999999998</v>
          </cell>
          <cell r="F29" t="str">
            <v>August 1, 2014</v>
          </cell>
          <cell r="G29">
            <v>119512.40000000001</v>
          </cell>
          <cell r="H29">
            <v>215877.19999999995</v>
          </cell>
          <cell r="I29">
            <v>0</v>
          </cell>
        </row>
        <row r="30">
          <cell r="B30">
            <v>0</v>
          </cell>
          <cell r="C30" t="str">
            <v>Goods</v>
          </cell>
          <cell r="D30" t="str">
            <v>WFP - EF Riego, Procurement of goods to elaborate bio compost</v>
          </cell>
          <cell r="E30">
            <v>42063.45</v>
          </cell>
          <cell r="F30" t="str">
            <v>December 10,2015</v>
          </cell>
          <cell r="G30">
            <v>0</v>
          </cell>
          <cell r="H30">
            <v>42063.45</v>
          </cell>
          <cell r="I30">
            <v>0</v>
          </cell>
        </row>
        <row r="31">
          <cell r="B31">
            <v>0</v>
          </cell>
          <cell r="C31" t="str">
            <v>* Contract/MuO amounts verified with original documents. Documents are kept in each institution files. Project team has a copy of them.</v>
          </cell>
          <cell r="D31">
            <v>0</v>
          </cell>
          <cell r="E31">
            <v>0</v>
          </cell>
          <cell r="F31">
            <v>0</v>
          </cell>
          <cell r="G31">
            <v>0</v>
          </cell>
          <cell r="H31">
            <v>0</v>
          </cell>
          <cell r="I31">
            <v>0</v>
          </cell>
        </row>
        <row r="32">
          <cell r="B32">
            <v>0</v>
          </cell>
          <cell r="C32" t="str">
            <v>** Staff contracted by CCRJ and WFP under their HR rules and regulations.</v>
          </cell>
          <cell r="D32">
            <v>0</v>
          </cell>
          <cell r="E32">
            <v>0</v>
          </cell>
          <cell r="F32">
            <v>0</v>
          </cell>
          <cell r="G32">
            <v>0</v>
          </cell>
          <cell r="H32">
            <v>0</v>
          </cell>
          <cell r="I32">
            <v>0</v>
          </cell>
        </row>
        <row r="33">
          <cell r="B33">
            <v>0</v>
          </cell>
          <cell r="C33" t="str">
            <v>*** MUO signed by WFP is not considering procurement processes. The agreement was negotiated directly with institutions that demonstrated technical experience in the field.</v>
          </cell>
          <cell r="D33">
            <v>0</v>
          </cell>
          <cell r="E33">
            <v>0</v>
          </cell>
          <cell r="F33">
            <v>0</v>
          </cell>
          <cell r="G33">
            <v>0</v>
          </cell>
          <cell r="H33">
            <v>0</v>
          </cell>
          <cell r="I33">
            <v>0</v>
          </cell>
        </row>
        <row r="34">
          <cell r="B34">
            <v>0</v>
          </cell>
          <cell r="C34">
            <v>0</v>
          </cell>
          <cell r="D34">
            <v>0</v>
          </cell>
          <cell r="E34">
            <v>0</v>
          </cell>
          <cell r="F34">
            <v>0</v>
          </cell>
          <cell r="G34">
            <v>0</v>
          </cell>
          <cell r="H34">
            <v>0</v>
          </cell>
          <cell r="I34">
            <v>0</v>
          </cell>
        </row>
        <row r="35">
          <cell r="B35">
            <v>0</v>
          </cell>
          <cell r="C35" t="str">
            <v>BIDS</v>
          </cell>
          <cell r="D35">
            <v>0</v>
          </cell>
          <cell r="E35">
            <v>0</v>
          </cell>
          <cell r="F35">
            <v>0</v>
          </cell>
          <cell r="G35">
            <v>0</v>
          </cell>
          <cell r="H35">
            <v>0</v>
          </cell>
          <cell r="I35">
            <v>0</v>
          </cell>
        </row>
        <row r="36">
          <cell r="B36">
            <v>0</v>
          </cell>
          <cell r="C36" t="str">
            <v>List all bids for each contact signed with date of open call and winning bid</v>
          </cell>
          <cell r="D36">
            <v>0</v>
          </cell>
          <cell r="E36">
            <v>0</v>
          </cell>
          <cell r="F36">
            <v>0</v>
          </cell>
          <cell r="G36">
            <v>0</v>
          </cell>
          <cell r="H36">
            <v>0</v>
          </cell>
          <cell r="I36">
            <v>0</v>
          </cell>
        </row>
        <row r="37">
          <cell r="B37">
            <v>0</v>
          </cell>
          <cell r="C37" t="str">
            <v>CONTRACT &amp; Procurement Method</v>
          </cell>
          <cell r="D37" t="str">
            <v>Submitted Bids</v>
          </cell>
          <cell r="E37" t="str">
            <v>Bid Amount (USD)</v>
          </cell>
          <cell r="F37" t="str">
            <v>Winning Bid Amount (USD)</v>
          </cell>
          <cell r="G37" t="str">
            <v>Selection Justification for the Winner</v>
          </cell>
          <cell r="H37">
            <v>0</v>
          </cell>
          <cell r="I37">
            <v>0</v>
          </cell>
        </row>
        <row r="38">
          <cell r="B38">
            <v>0</v>
          </cell>
          <cell r="C38" t="str">
            <v>GADPP
Procurement of goods to construct water pipelines for Pitana Bajo Community, Cangagua Parish
Procurement Method: Inverse Auction (Subasta Inversa)
Date of Call: April 8, 2015</v>
          </cell>
          <cell r="D38" t="str">
            <v>Torres Herrera Carlos</v>
          </cell>
          <cell r="E38">
            <v>57525</v>
          </cell>
          <cell r="F38">
            <v>37499</v>
          </cell>
          <cell r="G38" t="str">
            <v>Procurement process done by GADPP through the procurement digital government system under method called Inverse Auction (Portal de Compras Públicas - Subasta Inversa). 
Four bids were received. Selection process went throughout two phases: The first was the technical selection and the second was the economic selection. If the technical phase is overcome, the process allows price bids.
The bid with the lowest price was selected.</v>
          </cell>
          <cell r="H38">
            <v>0</v>
          </cell>
          <cell r="I38">
            <v>0</v>
          </cell>
        </row>
        <row r="39">
          <cell r="B39">
            <v>0</v>
          </cell>
          <cell r="C39">
            <v>0</v>
          </cell>
          <cell r="D39" t="str">
            <v>Agustin Franco</v>
          </cell>
          <cell r="E39">
            <v>57463.64</v>
          </cell>
          <cell r="F39">
            <v>0</v>
          </cell>
          <cell r="G39">
            <v>0</v>
          </cell>
          <cell r="H39">
            <v>0</v>
          </cell>
          <cell r="I39">
            <v>0</v>
          </cell>
        </row>
        <row r="40">
          <cell r="B40">
            <v>0</v>
          </cell>
          <cell r="C40">
            <v>0</v>
          </cell>
          <cell r="D40" t="str">
            <v>María Isabel Maldonado</v>
          </cell>
          <cell r="E40">
            <v>57525</v>
          </cell>
          <cell r="F40">
            <v>0</v>
          </cell>
          <cell r="G40">
            <v>0</v>
          </cell>
          <cell r="H40">
            <v>0</v>
          </cell>
          <cell r="I40">
            <v>0</v>
          </cell>
        </row>
        <row r="41">
          <cell r="B41">
            <v>0</v>
          </cell>
          <cell r="C41">
            <v>0</v>
          </cell>
          <cell r="D41" t="str">
            <v>MEMKADISHSA</v>
          </cell>
          <cell r="E41">
            <v>57525.75</v>
          </cell>
          <cell r="F41">
            <v>0</v>
          </cell>
          <cell r="G41">
            <v>0</v>
          </cell>
          <cell r="H41">
            <v>0</v>
          </cell>
          <cell r="I41">
            <v>0</v>
          </cell>
        </row>
        <row r="42">
          <cell r="B42">
            <v>0</v>
          </cell>
          <cell r="C42" t="str">
            <v>GADPP
Procurement of goods to coat and protect water reservoir for San Luis de Ichisí Community, Tabacundo Canton
Procurement Method: Inverse Auction (Subasta Inversa)
Date of Call: April 9, 2015</v>
          </cell>
          <cell r="D42" t="str">
            <v>MACCAFERRI DE ECUADOR S.A.</v>
          </cell>
          <cell r="E42">
            <v>52203.47</v>
          </cell>
          <cell r="F42">
            <v>50005.43</v>
          </cell>
          <cell r="G42" t="str">
            <v>Procurement process done by GADPP through the procurement digital government system under method called Inverse Auction (Portal de Compras Públicas - Subasta Inversa). 
There was only one bid. After certifying technical compliance, according to Ecuadorian National Procurement Rules and Regulations (Art. 47; No. 4), the only bid needs to decrease its offer in at least 5%.
The offeror made a reduction of  9% and was contracted.</v>
          </cell>
          <cell r="H42">
            <v>0</v>
          </cell>
          <cell r="I42">
            <v>0</v>
          </cell>
        </row>
        <row r="43">
          <cell r="B43">
            <v>0</v>
          </cell>
          <cell r="C43" t="str">
            <v>GADPP
Procurement of goods to coat and protect water reservoir for El Rosario Community, La Esperanza Parish
Procurement Method: Inverse Auction (Subasta Inversa)
Date of Call: April 27, 2015</v>
          </cell>
          <cell r="D43" t="str">
            <v>MACCAFERRI DE ECUADOR S.A.</v>
          </cell>
          <cell r="E43">
            <v>51856.86</v>
          </cell>
          <cell r="F43">
            <v>46762.19</v>
          </cell>
          <cell r="G43"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10% and was contracted.</v>
          </cell>
          <cell r="H43">
            <v>0</v>
          </cell>
          <cell r="I43">
            <v>0</v>
          </cell>
        </row>
        <row r="44">
          <cell r="B44">
            <v>0</v>
          </cell>
          <cell r="C44">
            <v>0</v>
          </cell>
          <cell r="D44" t="str">
            <v>GETCOSYNTHETIC S.A.</v>
          </cell>
          <cell r="E44" t="str">
            <v>n/a</v>
          </cell>
          <cell r="F44">
            <v>0</v>
          </cell>
          <cell r="G44">
            <v>0</v>
          </cell>
          <cell r="H44">
            <v>0</v>
          </cell>
          <cell r="I44">
            <v>0</v>
          </cell>
        </row>
        <row r="45">
          <cell r="B45">
            <v>0</v>
          </cell>
          <cell r="C45" t="str">
            <v>GADPP
Procurement of goods to coat and protect water reservoir for San Juan Community, Malchingui Parish
Procurement Method: Inverse Auction (Subasta Inversa)
Date of Call: July 28, 2015</v>
          </cell>
          <cell r="D45" t="str">
            <v>MACAFERRI DE ECUADOR S.A.</v>
          </cell>
          <cell r="E45">
            <v>48397.5</v>
          </cell>
          <cell r="F45">
            <v>43557.75</v>
          </cell>
          <cell r="G45"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10% and was contracted.</v>
          </cell>
          <cell r="H45">
            <v>0</v>
          </cell>
          <cell r="I45">
            <v>0</v>
          </cell>
        </row>
        <row r="46">
          <cell r="B46">
            <v>0</v>
          </cell>
          <cell r="C46">
            <v>0</v>
          </cell>
          <cell r="D46" t="str">
            <v>NEXTCO NUEVAS TECNICAS DE CONSTRUCCIÓN CIA. LTDA.</v>
          </cell>
          <cell r="E46" t="str">
            <v>n/a</v>
          </cell>
          <cell r="F46">
            <v>0</v>
          </cell>
          <cell r="G46">
            <v>0</v>
          </cell>
          <cell r="H46">
            <v>0</v>
          </cell>
          <cell r="I46">
            <v>0</v>
          </cell>
        </row>
        <row r="47">
          <cell r="B47">
            <v>0</v>
          </cell>
          <cell r="C47" t="str">
            <v>GADPP
Procurement of goods to coat and protect water reservoir for La Chimba Community, Cayambe Canton
Procurement Method: Inverse Auction (Subasta Inversa)
Date of Call: July 28, 2015</v>
          </cell>
          <cell r="D47" t="str">
            <v>PIVALTEC S.A.</v>
          </cell>
          <cell r="E47">
            <v>56602.33</v>
          </cell>
          <cell r="F47">
            <v>52781.83</v>
          </cell>
          <cell r="G47"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7% and was contracted.</v>
          </cell>
          <cell r="H47">
            <v>0</v>
          </cell>
          <cell r="I47">
            <v>0</v>
          </cell>
        </row>
        <row r="48">
          <cell r="B48">
            <v>0</v>
          </cell>
          <cell r="C48">
            <v>0</v>
          </cell>
          <cell r="D48" t="str">
            <v>MACAFERRI DE ECUADOR S.A.</v>
          </cell>
          <cell r="E48" t="str">
            <v>n/a</v>
          </cell>
          <cell r="F48">
            <v>0</v>
          </cell>
          <cell r="G48">
            <v>0</v>
          </cell>
          <cell r="H48">
            <v>0</v>
          </cell>
          <cell r="I48">
            <v>0</v>
          </cell>
        </row>
        <row r="49">
          <cell r="B49">
            <v>0</v>
          </cell>
          <cell r="C49">
            <v>0</v>
          </cell>
          <cell r="D49" t="str">
            <v>GETCOSYNTHETIC S.A.</v>
          </cell>
          <cell r="E49" t="str">
            <v>n/a</v>
          </cell>
          <cell r="F49">
            <v>0</v>
          </cell>
          <cell r="G49">
            <v>0</v>
          </cell>
          <cell r="H49">
            <v>0</v>
          </cell>
          <cell r="I49">
            <v>0</v>
          </cell>
        </row>
        <row r="50">
          <cell r="B50">
            <v>0</v>
          </cell>
          <cell r="C50" t="str">
            <v>GADPP
Procurement of goods to coat and protect water reservoir for Otoncito Community, Oton Parish
Procurement Method: Inverse Auction (Subasta Inversa)
Date of Call: August 7, 2015</v>
          </cell>
          <cell r="D50" t="str">
            <v>MACCAFERRI DE ECUADOR S.A.</v>
          </cell>
          <cell r="E50">
            <v>55490.32</v>
          </cell>
          <cell r="F50">
            <v>36500</v>
          </cell>
          <cell r="G50" t="str">
            <v>Procurement process done by GADPP through the procurement digital government system under method called Inverse Auction (Portal de Compras Públicas - Subasta Inversa). 
Two bids were received. Selection process went throughout two phases: The first was the technical selection and the second was the economic selection. If the technical phase is overcome, the process allows price bids.
The bid with the lowest price was selected.</v>
          </cell>
          <cell r="H50">
            <v>0</v>
          </cell>
          <cell r="I50">
            <v>0</v>
          </cell>
        </row>
        <row r="51">
          <cell r="B51">
            <v>0</v>
          </cell>
          <cell r="C51">
            <v>0</v>
          </cell>
          <cell r="D51" t="str">
            <v>NEXTCO NUEVAS TECNICAS DE CONSTRUCCIÓN CIA. LTDA.</v>
          </cell>
          <cell r="E51">
            <v>53416.72</v>
          </cell>
          <cell r="F51">
            <v>0</v>
          </cell>
          <cell r="G51">
            <v>0</v>
          </cell>
          <cell r="H51">
            <v>0</v>
          </cell>
          <cell r="I51">
            <v>0</v>
          </cell>
        </row>
        <row r="52">
          <cell r="B52">
            <v>0</v>
          </cell>
          <cell r="C52" t="str">
            <v xml:space="preserve">CCRJ
Selection of personnel. Local Promoter for Urdaneta Parish
Procurement Method: Direct Contracting
Date of Call: n/a
</v>
          </cell>
          <cell r="D52" t="str">
            <v>GONZALEZ GONZALEZ HOLGER</v>
          </cell>
          <cell r="E52">
            <v>4400</v>
          </cell>
          <cell r="F52">
            <v>4400</v>
          </cell>
          <cell r="G52" t="str">
            <v>Urdaneta Parish Government recommends the direct contracting after analyzing 3 candidates.</v>
          </cell>
          <cell r="H52">
            <v>0</v>
          </cell>
          <cell r="I52">
            <v>0</v>
          </cell>
        </row>
        <row r="53">
          <cell r="B53">
            <v>0</v>
          </cell>
          <cell r="C53" t="str">
            <v>CCRJ
Procurement of goods to improve irrigation systems for Tenta, Urdaneta, Guanazán and Girón parishes. 
Procurement Method: Inverse Auction (Subasta Inversa)
Date of Call:</v>
          </cell>
          <cell r="D53" t="str">
            <v>PALAGUACHI GUARTAN INÉS LUCÍA</v>
          </cell>
          <cell r="E53">
            <v>38300</v>
          </cell>
          <cell r="F53">
            <v>38300</v>
          </cell>
          <cell r="G53" t="str">
            <v>Procurement process done by CCRJ through the procurement digital government system under method called Inverse Auction (Portal de Compras Públicas - Subasta Inversa). 
Five bids were received. Selection process went throughout two phases: The first was the technical selection and the second was the economic selection. If the technical phase is overcome, the process allows price bids.
The bid with the lowest price was selected. A saving of $13.918,33 against reference budget.</v>
          </cell>
          <cell r="H53">
            <v>0</v>
          </cell>
          <cell r="I53">
            <v>0</v>
          </cell>
        </row>
        <row r="54">
          <cell r="B54">
            <v>0</v>
          </cell>
          <cell r="C54">
            <v>0</v>
          </cell>
          <cell r="D54" t="str">
            <v>SARMIENTO JARRIN ANGEL RAMIRO</v>
          </cell>
          <cell r="E54">
            <v>39478.1</v>
          </cell>
          <cell r="F54">
            <v>0</v>
          </cell>
          <cell r="G54">
            <v>0</v>
          </cell>
          <cell r="H54">
            <v>0</v>
          </cell>
          <cell r="I54">
            <v>0</v>
          </cell>
        </row>
        <row r="55">
          <cell r="B55">
            <v>0</v>
          </cell>
          <cell r="C55">
            <v>0</v>
          </cell>
          <cell r="D55" t="str">
            <v>DITECUENCA CIA. LTDA.</v>
          </cell>
          <cell r="E55">
            <v>41000</v>
          </cell>
          <cell r="F55">
            <v>0</v>
          </cell>
          <cell r="G55">
            <v>0</v>
          </cell>
          <cell r="H55">
            <v>0</v>
          </cell>
          <cell r="I55">
            <v>0</v>
          </cell>
        </row>
        <row r="56">
          <cell r="B56">
            <v>0</v>
          </cell>
          <cell r="C56">
            <v>0</v>
          </cell>
          <cell r="D56" t="str">
            <v>AXL SA COMPAÑIA DE COMERCIO</v>
          </cell>
          <cell r="E56">
            <v>47000</v>
          </cell>
          <cell r="F56">
            <v>0</v>
          </cell>
          <cell r="G56">
            <v>0</v>
          </cell>
          <cell r="H56">
            <v>0</v>
          </cell>
          <cell r="I56">
            <v>0</v>
          </cell>
        </row>
        <row r="57">
          <cell r="B57">
            <v>0</v>
          </cell>
          <cell r="C57">
            <v>0</v>
          </cell>
          <cell r="D57" t="str">
            <v>RODRIGUEZ MENESES RAQUEL ANDREA</v>
          </cell>
          <cell r="E57">
            <v>52216</v>
          </cell>
          <cell r="F57">
            <v>0</v>
          </cell>
          <cell r="G57">
            <v>0</v>
          </cell>
          <cell r="H57">
            <v>0</v>
          </cell>
          <cell r="I57">
            <v>0</v>
          </cell>
        </row>
        <row r="58">
          <cell r="B58">
            <v>0</v>
          </cell>
          <cell r="C58" t="str">
            <v>CCRJ
Procurement of organic fertilizer for agriculture activities in Shaglli and Chumblin parishes. 
Procurement Method: Inverse Auction (Subasta Inversa)
Date of Call:</v>
          </cell>
          <cell r="D58" t="str">
            <v>FLORES ASQUI MARCELO ARMANDO</v>
          </cell>
          <cell r="E58">
            <v>37000</v>
          </cell>
          <cell r="F58">
            <v>37000</v>
          </cell>
          <cell r="G58" t="str">
            <v>Procurement process done by CCRJ through the procurement digital government system under method called Inverse Auction (Portal de Compras Públicas - Subasta Inversa). 
Five bids were received. Selection process went throughout two phases: The first was the technical selection and the second was the economic selection. If the technical phase is overcome, the process allows price bids.
The bid with the lowest price was selected. A saving of $13.913,33 aginst reference budget.</v>
          </cell>
          <cell r="H58">
            <v>0</v>
          </cell>
          <cell r="I58">
            <v>0</v>
          </cell>
        </row>
        <row r="59">
          <cell r="B59">
            <v>0</v>
          </cell>
          <cell r="C59">
            <v>0</v>
          </cell>
          <cell r="D59" t="str">
            <v>VAZQUEZ BUESTAN LUIS XAVIER</v>
          </cell>
          <cell r="E59">
            <v>37480</v>
          </cell>
          <cell r="F59">
            <v>0</v>
          </cell>
          <cell r="G59">
            <v>0</v>
          </cell>
          <cell r="H59">
            <v>0</v>
          </cell>
          <cell r="I59">
            <v>0</v>
          </cell>
        </row>
        <row r="60">
          <cell r="B60">
            <v>0</v>
          </cell>
          <cell r="C60" t="str">
            <v>CCRJ
Contracting of cement transportation for irrigation infraestructure in Tenta, Urdaneta, Guanazán and Girón parishes. 
Procurement Method: Smallest amount (Infima Cuantía)
Date of Call:</v>
          </cell>
          <cell r="D60" t="str">
            <v>LUIS ALBERTO VALDEZ MOLINA</v>
          </cell>
          <cell r="E60">
            <v>2768.5</v>
          </cell>
          <cell r="F60">
            <v>2768.5</v>
          </cell>
          <cell r="G60" t="str">
            <v>Procurement process done by CCRJ according national rules. CCRJ asked for quotes to at least 3 suppliers. The winner is the lowest price that complies with technical requirements</v>
          </cell>
          <cell r="H60">
            <v>0</v>
          </cell>
          <cell r="I60">
            <v>0</v>
          </cell>
        </row>
        <row r="61">
          <cell r="B61">
            <v>0</v>
          </cell>
          <cell r="C61">
            <v>0</v>
          </cell>
          <cell r="D61" t="str">
            <v xml:space="preserve">MESIAS VÁSQUEZ </v>
          </cell>
          <cell r="E61">
            <v>3522</v>
          </cell>
          <cell r="F61">
            <v>0</v>
          </cell>
          <cell r="G61">
            <v>0</v>
          </cell>
          <cell r="H61">
            <v>0</v>
          </cell>
          <cell r="I61">
            <v>0</v>
          </cell>
        </row>
        <row r="62">
          <cell r="B62">
            <v>0</v>
          </cell>
          <cell r="C62">
            <v>0</v>
          </cell>
          <cell r="D62" t="str">
            <v>BYRON ZHAGNAY</v>
          </cell>
          <cell r="E62">
            <v>3290.36</v>
          </cell>
          <cell r="F62">
            <v>0</v>
          </cell>
          <cell r="G62">
            <v>0</v>
          </cell>
          <cell r="H62">
            <v>0</v>
          </cell>
          <cell r="I62">
            <v>0</v>
          </cell>
        </row>
        <row r="63">
          <cell r="B63">
            <v>0</v>
          </cell>
          <cell r="C63" t="str">
            <v>CCRJ
Procurement of cement for irrigation infraestructure in Tenta, Urdaneta, Guanazán and Girón parishes. 
Procurement Method: Waiver - Special Regimen (Regimen Especial)
Date of Call: n/a</v>
          </cell>
          <cell r="D63" t="str">
            <v>UCEM</v>
          </cell>
          <cell r="E63">
            <v>10918.2</v>
          </cell>
          <cell r="F63">
            <v>10918.2</v>
          </cell>
          <cell r="G63" t="str">
            <v>Procurement process done by CCRJ through the procurement digital government system (Portal de Compras Públicas).
Contract signed by CCRJ according national rules. It is a public enterprise.</v>
          </cell>
          <cell r="H63">
            <v>0</v>
          </cell>
          <cell r="I63">
            <v>0</v>
          </cell>
        </row>
        <row r="64">
          <cell r="B64">
            <v>0</v>
          </cell>
          <cell r="C64" t="str">
            <v>CCRJ
Contracting of personal services to design irrigation infraestructure in Tenta, Urdaneta and Guanazán parishes. 
Procurement Method: Smallest amount (Infima Cuantía)
Date of Call:</v>
          </cell>
          <cell r="D64" t="str">
            <v>DELGADO VERDUGO PABLO LEONARDO</v>
          </cell>
          <cell r="E64">
            <v>7250</v>
          </cell>
          <cell r="F64">
            <v>7250</v>
          </cell>
          <cell r="G64" t="str">
            <v>Procurement process done by CCRJ according national rules. CCRJ asked for quotes to at least 3 suppliers. The winner is the lowest price that complies with technical requirements</v>
          </cell>
          <cell r="H64">
            <v>0</v>
          </cell>
          <cell r="I64">
            <v>0</v>
          </cell>
        </row>
        <row r="65">
          <cell r="B65">
            <v>0</v>
          </cell>
          <cell r="C65">
            <v>0</v>
          </cell>
          <cell r="D65" t="str">
            <v>LUIS VINTIMILLA</v>
          </cell>
          <cell r="E65">
            <v>12600</v>
          </cell>
          <cell r="F65">
            <v>0</v>
          </cell>
          <cell r="G65">
            <v>0</v>
          </cell>
          <cell r="H65">
            <v>0</v>
          </cell>
          <cell r="I65">
            <v>0</v>
          </cell>
        </row>
        <row r="66">
          <cell r="B66">
            <v>0</v>
          </cell>
          <cell r="C66">
            <v>0</v>
          </cell>
          <cell r="D66" t="str">
            <v>ZHIMINAICELA SUQUILANDA FRANKLIN</v>
          </cell>
          <cell r="E66">
            <v>23010</v>
          </cell>
          <cell r="F66">
            <v>0</v>
          </cell>
          <cell r="G66">
            <v>0</v>
          </cell>
          <cell r="H66">
            <v>0</v>
          </cell>
          <cell r="I66">
            <v>0</v>
          </cell>
        </row>
        <row r="67">
          <cell r="B67">
            <v>0</v>
          </cell>
          <cell r="C67" t="str">
            <v>CCRJ
Contracting of construction (workforce) of irrigation infraestructure in Tenta parish. 
Procurement Method: Smallest amount (Infima Cuantía)
Date of Call:</v>
          </cell>
          <cell r="D67" t="str">
            <v>JAPON MEDINA ANGEL POLIVIO</v>
          </cell>
          <cell r="E67">
            <v>3000</v>
          </cell>
          <cell r="F67">
            <v>2820</v>
          </cell>
          <cell r="G67" t="str">
            <v>Procurement process done by CCRJ according national rules. CCRJ asked for quotes to at least 3 suppliers. The winner is the lowest price that complies with technical requirements.</v>
          </cell>
          <cell r="H67">
            <v>0</v>
          </cell>
          <cell r="I67">
            <v>0</v>
          </cell>
        </row>
        <row r="68">
          <cell r="B68">
            <v>0</v>
          </cell>
          <cell r="C68">
            <v>0</v>
          </cell>
          <cell r="D68" t="str">
            <v>LAVANDA MOROCHO VICTOR</v>
          </cell>
          <cell r="E68">
            <v>3400</v>
          </cell>
          <cell r="F68">
            <v>0</v>
          </cell>
          <cell r="G68">
            <v>0</v>
          </cell>
          <cell r="H68">
            <v>0</v>
          </cell>
          <cell r="I68">
            <v>0</v>
          </cell>
        </row>
        <row r="69">
          <cell r="B69">
            <v>0</v>
          </cell>
          <cell r="C69">
            <v>0</v>
          </cell>
          <cell r="D69" t="str">
            <v>JAPON GUAYLLAS ANGEL</v>
          </cell>
          <cell r="E69">
            <v>2820</v>
          </cell>
          <cell r="F69">
            <v>0</v>
          </cell>
          <cell r="G69">
            <v>0</v>
          </cell>
          <cell r="H69">
            <v>0</v>
          </cell>
          <cell r="I69">
            <v>0</v>
          </cell>
        </row>
        <row r="70">
          <cell r="B70">
            <v>0</v>
          </cell>
          <cell r="C70" t="str">
            <v>CCRJ
Contracting of personal services to design irrigation infraestructure in Giron parish. 
Procurement Method: Smallest amount (Infima Cuantía)
Date of Call:</v>
          </cell>
          <cell r="D70" t="str">
            <v xml:space="preserve">LUIS ALBERTO VINTIMILLA </v>
          </cell>
          <cell r="E70">
            <v>2650</v>
          </cell>
          <cell r="F70">
            <v>2650</v>
          </cell>
          <cell r="G70" t="str">
            <v>Procurement process done by CCRJ according national rules. CCRJ asked for quotes to at least 3 suppliers. The winner is the lowest price that complies with technical requirements</v>
          </cell>
          <cell r="H70">
            <v>0</v>
          </cell>
          <cell r="I70">
            <v>0</v>
          </cell>
        </row>
        <row r="71">
          <cell r="B71">
            <v>0</v>
          </cell>
          <cell r="C71">
            <v>0</v>
          </cell>
          <cell r="D71" t="str">
            <v>DELGADO VERDUGO PABLO LEONARDO</v>
          </cell>
          <cell r="E71">
            <v>3150</v>
          </cell>
          <cell r="F71">
            <v>0</v>
          </cell>
          <cell r="G71">
            <v>0</v>
          </cell>
          <cell r="H71">
            <v>0</v>
          </cell>
          <cell r="I71">
            <v>0</v>
          </cell>
        </row>
        <row r="72">
          <cell r="B72">
            <v>0</v>
          </cell>
          <cell r="C72">
            <v>0</v>
          </cell>
          <cell r="D72" t="str">
            <v>RAUL NARVAEZ</v>
          </cell>
          <cell r="E72">
            <v>3000</v>
          </cell>
          <cell r="F72">
            <v>0</v>
          </cell>
          <cell r="G72">
            <v>0</v>
          </cell>
          <cell r="H72">
            <v>0</v>
          </cell>
          <cell r="I72">
            <v>0</v>
          </cell>
        </row>
        <row r="73">
          <cell r="B73">
            <v>0</v>
          </cell>
          <cell r="C73" t="str">
            <v>Procurement of goods to elaborate bio compost
Procurement Method: Invitation to Bid
Date of Call: October 30, 2015</v>
          </cell>
          <cell r="D73" t="str">
            <v>LA CASA DEL AGRICULTOR</v>
          </cell>
          <cell r="E73">
            <v>47870</v>
          </cell>
          <cell r="F73">
            <v>42063.45</v>
          </cell>
          <cell r="G73" t="str">
            <v>Procurement process done by WFP according to rules and regulations. WFP asked for quotes to at least 3 suppliers recommended by MAE and registered in its procurement system (In-tend). The bid of Agros Wil was invalidated due to change of prices The winner is the lowest price that complies with technical requirements.</v>
          </cell>
          <cell r="H73">
            <v>0</v>
          </cell>
          <cell r="I73">
            <v>0</v>
          </cell>
        </row>
        <row r="74">
          <cell r="B74">
            <v>0</v>
          </cell>
          <cell r="C74">
            <v>0</v>
          </cell>
          <cell r="D74" t="str">
            <v>AGROS WIL</v>
          </cell>
          <cell r="E74" t="str">
            <v>N/A</v>
          </cell>
          <cell r="F74">
            <v>0</v>
          </cell>
          <cell r="G74">
            <v>0</v>
          </cell>
          <cell r="H74">
            <v>0</v>
          </cell>
          <cell r="I74">
            <v>0</v>
          </cell>
        </row>
        <row r="75">
          <cell r="B75">
            <v>0</v>
          </cell>
          <cell r="C75">
            <v>0</v>
          </cell>
          <cell r="D75" t="str">
            <v>EF RIEGO</v>
          </cell>
          <cell r="E75">
            <v>42063.45</v>
          </cell>
          <cell r="F75">
            <v>0</v>
          </cell>
          <cell r="G75">
            <v>0</v>
          </cell>
          <cell r="H75">
            <v>0</v>
          </cell>
          <cell r="I75">
            <v>0</v>
          </cell>
        </row>
        <row r="76">
          <cell r="B76">
            <v>0</v>
          </cell>
          <cell r="C76" t="str">
            <v>* All bids done by MAE and CCRJ used national rules and regulations.</v>
          </cell>
          <cell r="D76">
            <v>0</v>
          </cell>
          <cell r="E76">
            <v>0</v>
          </cell>
          <cell r="F76">
            <v>0</v>
          </cell>
          <cell r="G76">
            <v>0</v>
          </cell>
          <cell r="H76">
            <v>0</v>
          </cell>
          <cell r="I76">
            <v>0</v>
          </cell>
        </row>
        <row r="77">
          <cell r="B77">
            <v>0</v>
          </cell>
          <cell r="C77" t="str">
            <v>** Intercoperation bidding process was reported in PPR 2014. The contract is closed but as the products were not submitted on time, there were a penalty fee of $5.241,43</v>
          </cell>
          <cell r="D77">
            <v>0</v>
          </cell>
          <cell r="E77">
            <v>0</v>
          </cell>
          <cell r="F77">
            <v>0</v>
          </cell>
          <cell r="G77">
            <v>0</v>
          </cell>
          <cell r="H77">
            <v>0</v>
          </cell>
          <cell r="I77">
            <v>0</v>
          </cell>
        </row>
        <row r="78">
          <cell r="B78">
            <v>0</v>
          </cell>
          <cell r="C78">
            <v>0</v>
          </cell>
          <cell r="D78">
            <v>0</v>
          </cell>
          <cell r="E78">
            <v>0</v>
          </cell>
          <cell r="F78">
            <v>0</v>
          </cell>
          <cell r="G78">
            <v>0</v>
          </cell>
          <cell r="H78">
            <v>0</v>
          </cell>
          <cell r="I78">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Results Tracker"/>
    </sheetNames>
    <sheetDataSet>
      <sheetData sheetId="0"/>
      <sheetData sheetId="1">
        <row r="146">
          <cell r="G146" t="str">
            <v>Community</v>
          </cell>
        </row>
        <row r="147">
          <cell r="G147" t="str">
            <v>Multi-community</v>
          </cell>
        </row>
        <row r="148">
          <cell r="G148" t="str">
            <v>Departmental</v>
          </cell>
        </row>
        <row r="149">
          <cell r="G149" t="str">
            <v>National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Risk Assesment"/>
      <sheetName val="Rating"/>
      <sheetName val="Project Indicators"/>
      <sheetName val="Lessons Learned"/>
      <sheetName val="Results Tracker"/>
      <sheetName val="Units for Indicators"/>
      <sheetName val="Annex 1 Products"/>
      <sheetName val="Annex 2 Measures"/>
      <sheetName val="Annex 3 Media"/>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ponce@magap.gob.ec" TargetMode="External"/><Relationship Id="rId7" Type="http://schemas.openxmlformats.org/officeDocument/2006/relationships/hyperlink" Target="mailto:walter.garcia@ambiente.gob.ec" TargetMode="External"/><Relationship Id="rId2" Type="http://schemas.openxmlformats.org/officeDocument/2006/relationships/hyperlink" Target="mailto:kyungnan.park@wfp.org" TargetMode="External"/><Relationship Id="rId1" Type="http://schemas.openxmlformats.org/officeDocument/2006/relationships/hyperlink" Target="mailto:julio.rojas@ambiente.gob.ec" TargetMode="External"/><Relationship Id="rId6" Type="http://schemas.openxmlformats.org/officeDocument/2006/relationships/hyperlink" Target="mailto:dianapl71@hotmail.com" TargetMode="External"/><Relationship Id="rId5" Type="http://schemas.openxmlformats.org/officeDocument/2006/relationships/hyperlink" Target="mailto:diegog.guzman@ambiente.gob.ec" TargetMode="External"/><Relationship Id="rId4" Type="http://schemas.openxmlformats.org/officeDocument/2006/relationships/hyperlink" Target="mailto:gbaroja@pichincha.gob.e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hyperlink" Target="http://monitoreomedios.diuniversalcheck.net/Noticias/ConsultaNoticia?Id=1043868&amp;Usuario=1769&amp;Key=Eh9bU5GLLmia4vsCNRu1cik1gx3mg4SAhXekLHUrkcQ=" TargetMode="External"/><Relationship Id="rId18" Type="http://schemas.openxmlformats.org/officeDocument/2006/relationships/hyperlink" Target="http://www.ecoticias.com/eco-america/129218/Se-presentaran-proyectos-adaptacion-calentamiento-global-COP22" TargetMode="External"/><Relationship Id="rId26" Type="http://schemas.openxmlformats.org/officeDocument/2006/relationships/hyperlink" Target="http://www.elcomercio.com/tendencias/experiencia-ecuador-cambioclimatico-agricultura-cop22.html" TargetMode="External"/><Relationship Id="rId39" Type="http://schemas.openxmlformats.org/officeDocument/2006/relationships/hyperlink" Target="http://monitoreomedios.diuniversalcheck.net/Noticias/ConsultaNoticia?Id=1044359&amp;Usuario=1769&amp;Key=JcQVQwhXIm8B5O8Ten2NlbomcuPNwIT4GFxyBmeAW1I=" TargetMode="External"/><Relationship Id="rId21" Type="http://schemas.openxmlformats.org/officeDocument/2006/relationships/hyperlink" Target="http://www.eltelegrafo.com.ec/noticias/economia/8/los-campesinos-actuan-frente-al-cambio-climatico" TargetMode="External"/><Relationship Id="rId34" Type="http://schemas.openxmlformats.org/officeDocument/2006/relationships/hyperlink" Target="https://www.youtube.com/watch?v=1i0A2cawefY&amp;feature=youtu.be" TargetMode="External"/><Relationship Id="rId42" Type="http://schemas.openxmlformats.org/officeDocument/2006/relationships/hyperlink" Target="http://www.ecoticias.com/eco-america/129218/Se-presentaran-proyectos-adaptacion-calentamiento-global-COP22" TargetMode="External"/><Relationship Id="rId47" Type="http://schemas.openxmlformats.org/officeDocument/2006/relationships/hyperlink" Target="https://www.elmercurio.com.ec/568919-taller-sobre-sobre-cambio-climatico/" TargetMode="External"/><Relationship Id="rId7" Type="http://schemas.openxmlformats.org/officeDocument/2006/relationships/hyperlink" Target="http://www.eltelegrafo.com.ec/noticias/sociedad/4/las-comunas-campesinas-se-blindan-ante-el-cambio-climatico" TargetMode="External"/><Relationship Id="rId2" Type="http://schemas.openxmlformats.org/officeDocument/2006/relationships/hyperlink" Target="http://www.elcomercio.com/tendencias/experiencia-ecuador-cambioclimatico-agricultura-cop22.html" TargetMode="External"/><Relationship Id="rId16" Type="http://schemas.openxmlformats.org/officeDocument/2006/relationships/hyperlink" Target="http://monitoreomedios.diuniversalcheck.net/Noticias/ConsultaNoticia?Id=1043572&amp;Usuario=1769&amp;Key=SHLn7dSVfxJ5++VdSiSP6ILJhq9POOxddwnsXw/nXkA=" TargetMode="External"/><Relationship Id="rId29" Type="http://schemas.openxmlformats.org/officeDocument/2006/relationships/hyperlink" Target="http://www.elciudadano.gob.ec/riego-y-mejoramiento-de-las-practicas-agricolas-se-expondran-en-la-conferencia-cop22/" TargetMode="External"/><Relationship Id="rId1" Type="http://schemas.openxmlformats.org/officeDocument/2006/relationships/hyperlink" Target="http://www.eltiempo.com.ec/noticias/ecuador/4/402656/ecuador-participa-en-cumbre-climatica" TargetMode="External"/><Relationship Id="rId6" Type="http://schemas.openxmlformats.org/officeDocument/2006/relationships/hyperlink" Target="http://monitoreomedios.diuniversalcheck.net/Noticias/ConsultaNoticia?Id=1042817&amp;Usuario=1751&amp;Key=goqGk3/zH+dci0KMVBUlfdN+mC/5CgFLR2pDLTGxa9U=" TargetMode="External"/><Relationship Id="rId11" Type="http://schemas.openxmlformats.org/officeDocument/2006/relationships/hyperlink" Target="http://www.andes.info.ec/es/noticias/ecuador-presenta-marruecos-proyectos-adaptacion-cambio-climatico.html" TargetMode="External"/><Relationship Id="rId24" Type="http://schemas.openxmlformats.org/officeDocument/2006/relationships/hyperlink" Target="http://www.ecuadorinmediato.com/index.php?module=Noticias&amp;func=news_user_view&amp;id=2818791958" TargetMode="External"/><Relationship Id="rId32" Type="http://schemas.openxmlformats.org/officeDocument/2006/relationships/hyperlink" Target="https://drive.google.com/drive/folders/0B3q1SyA9-r6hODdQZGJQZXVBX1U" TargetMode="External"/><Relationship Id="rId37" Type="http://schemas.openxmlformats.org/officeDocument/2006/relationships/hyperlink" Target="http://monitoreomedios.diuniversalcheck.net/Noticias/ConsultaNoticia?Id=1043868&amp;Usuario=1769&amp;Key=Eh9bU5GLLmia4vsCNRu1cik1gx3mg4SAhXekLHUrkcQ=" TargetMode="External"/><Relationship Id="rId40" Type="http://schemas.openxmlformats.org/officeDocument/2006/relationships/hyperlink" Target="http://monitoreomedios.diuniversalcheck.net/Noticias/ConsultaNoticia?Id=1043572&amp;Usuario=1769&amp;Key=SHLn7dSVfxJ5++VdSiSP6ILJhq9POOxddwnsXw/nXkA=" TargetMode="External"/><Relationship Id="rId45" Type="http://schemas.openxmlformats.org/officeDocument/2006/relationships/hyperlink" Target="http://www.eltelegrafo.com.ec/noticias/economia/8/los-campesinos-actuan-frente-al-cambio-climatico" TargetMode="External"/><Relationship Id="rId5" Type="http://schemas.openxmlformats.org/officeDocument/2006/relationships/hyperlink" Target="http://www.elciudadano.gob.ec/riego-y-mejoramiento-de-las-practicas-agricolas-se-expondran-en-la-conferencia-cop22/" TargetMode="External"/><Relationship Id="rId15" Type="http://schemas.openxmlformats.org/officeDocument/2006/relationships/hyperlink" Target="http://monitoreomedios.diuniversalcheck.net/Noticias/ConsultaNoticia?Id=1044359&amp;Usuario=1769&amp;Key=JcQVQwhXIm8B5O8Ten2NlbomcuPNwIT4GFxyBmeAW1I=" TargetMode="External"/><Relationship Id="rId23" Type="http://schemas.openxmlformats.org/officeDocument/2006/relationships/hyperlink" Target="https://www.elmercurio.com.ec/568919-taller-sobre-sobre-cambio-climatico/" TargetMode="External"/><Relationship Id="rId28" Type="http://schemas.openxmlformats.org/officeDocument/2006/relationships/hyperlink" Target="http://www.diariopinion.com/ultimahora/verArticulo.php?id=948226" TargetMode="External"/><Relationship Id="rId36" Type="http://schemas.openxmlformats.org/officeDocument/2006/relationships/hyperlink" Target="http://ecuador.corresponsables.com/actualidad/riego-y-mejoramiento-de-practicas-agricolas-cop22" TargetMode="External"/><Relationship Id="rId10" Type="http://schemas.openxmlformats.org/officeDocument/2006/relationships/hyperlink" Target="https://www.youtube.com/watch?v=1i0A2cawefY&amp;feature=youtu.be" TargetMode="External"/><Relationship Id="rId19" Type="http://schemas.openxmlformats.org/officeDocument/2006/relationships/hyperlink" Target="http://www.elcomercio.com/tendencias/ecuador-compromisos-cambioclimatico-calentamientoglobal-cop22.html" TargetMode="External"/><Relationship Id="rId31" Type="http://schemas.openxmlformats.org/officeDocument/2006/relationships/hyperlink" Target="http://www.eltelegrafo.com.ec/noticias/sociedad/4/las-comunas-campesinas-se-blindan-ante-el-cambio-climatico" TargetMode="External"/><Relationship Id="rId44" Type="http://schemas.openxmlformats.org/officeDocument/2006/relationships/hyperlink" Target="http://www.ecuadorinmediato.com/index.php?module=Noticias&amp;func=news_user_view&amp;id=2818811483" TargetMode="External"/><Relationship Id="rId4" Type="http://schemas.openxmlformats.org/officeDocument/2006/relationships/hyperlink" Target="http://www.diariopinion.com/ultimahora/verArticulo.php?id=948226" TargetMode="External"/><Relationship Id="rId9" Type="http://schemas.openxmlformats.org/officeDocument/2006/relationships/hyperlink" Target="http://www.elnorte.ec/actualidad/66078-walter-garc%C3%ADa-hace-un-llamado-a-cumplir-con-los-compromisos-asumidos-en-la-convenci%C3%B3n-de-cambio-clim%C3%A1tico.html" TargetMode="External"/><Relationship Id="rId14" Type="http://schemas.openxmlformats.org/officeDocument/2006/relationships/hyperlink" Target="http://www.radiosucumbios.org.ec/index.php/component/content/article/13-noticias/noticias-ecuador/1205-proyectos-de-adaptacion-al-cambio-climatico-seran-expuestos-en-la-cop22" TargetMode="External"/><Relationship Id="rId22" Type="http://schemas.openxmlformats.org/officeDocument/2006/relationships/hyperlink" Target="http://www.cronica.com.ec/informacion/item/16332-3-000-familias-de-saraguro-beneficiadas-con-proyecto-foreccsa" TargetMode="External"/><Relationship Id="rId27" Type="http://schemas.openxmlformats.org/officeDocument/2006/relationships/hyperlink" Target="http://www.elnorte.ec/actualidad/66025-medidas-de-adaptaci%C3%B3n-al-cambio-clim%C3%A1tico-en-comunidades-ecuatorianas-se-exponen-en-el-extranjero.html" TargetMode="External"/><Relationship Id="rId30" Type="http://schemas.openxmlformats.org/officeDocument/2006/relationships/hyperlink" Target="http://monitoreomedios.diuniversalcheck.net/Noticias/ConsultaNoticia?Id=1042817&amp;Usuario=1751&amp;Key=goqGk3/zH+dci0KMVBUlfdN+mC/5CgFLR2pDLTGxa9U=" TargetMode="External"/><Relationship Id="rId35" Type="http://schemas.openxmlformats.org/officeDocument/2006/relationships/hyperlink" Target="http://www.andes.info.ec/es/noticias/ecuador-presenta-marruecos-proyectos-adaptacion-cambio-climatico.html" TargetMode="External"/><Relationship Id="rId43" Type="http://schemas.openxmlformats.org/officeDocument/2006/relationships/hyperlink" Target="http://www.elcomercio.com/tendencias/ecuador-compromisos-cambioclimatico-calentamientoglobal-cop22.html" TargetMode="External"/><Relationship Id="rId48" Type="http://schemas.openxmlformats.org/officeDocument/2006/relationships/hyperlink" Target="http://www.ecuadorinmediato.com/index.php?module=Noticias&amp;func=news_user_view&amp;id=2818791958" TargetMode="External"/><Relationship Id="rId8" Type="http://schemas.openxmlformats.org/officeDocument/2006/relationships/hyperlink" Target="https://drive.google.com/drive/folders/0B3q1SyA9-r6hODdQZGJQZXVBX1U" TargetMode="External"/><Relationship Id="rId3" Type="http://schemas.openxmlformats.org/officeDocument/2006/relationships/hyperlink" Target="http://www.elnorte.ec/actualidad/66025-medidas-de-adaptaci%C3%B3n-al-cambio-clim%C3%A1tico-en-comunidades-ecuatorianas-se-exponen-en-el-extranjero.html" TargetMode="External"/><Relationship Id="rId12" Type="http://schemas.openxmlformats.org/officeDocument/2006/relationships/hyperlink" Target="http://ecuador.corresponsables.com/actualidad/riego-y-mejoramiento-de-practicas-agricolas-cop22" TargetMode="External"/><Relationship Id="rId17" Type="http://schemas.openxmlformats.org/officeDocument/2006/relationships/hyperlink" Target="http://www.eltelegrafo.com.ec/noticias/sociedad/4/medidas-que-ecuador-implementa-para-enfrentar-el-cambio-climatico-son-expuestas-durante-el-cop22" TargetMode="External"/><Relationship Id="rId25" Type="http://schemas.openxmlformats.org/officeDocument/2006/relationships/hyperlink" Target="http://www.eltiempo.com.ec/noticias/ecuador/4/402656/ecuador-participa-en-cumbre-climatica" TargetMode="External"/><Relationship Id="rId33" Type="http://schemas.openxmlformats.org/officeDocument/2006/relationships/hyperlink" Target="http://www.elnorte.ec/actualidad/66078-walter-garc%C3%ADa-hace-un-llamado-a-cumplir-con-los-compromisos-asumidos-en-la-convenci%C3%B3n-de-cambio-clim%C3%A1tico.html" TargetMode="External"/><Relationship Id="rId38" Type="http://schemas.openxmlformats.org/officeDocument/2006/relationships/hyperlink" Target="http://www.radiosucumbios.org.ec/index.php/component/content/article/13-noticias/noticias-ecuador/1205-proyectos-de-adaptacion-al-cambio-climatico-seran-expuestos-en-la-cop22" TargetMode="External"/><Relationship Id="rId46" Type="http://schemas.openxmlformats.org/officeDocument/2006/relationships/hyperlink" Target="http://www.cronica.com.ec/informacion/item/16332-3-000-familias-de-saraguro-beneficiadas-con-proyecto-foreccsa" TargetMode="External"/><Relationship Id="rId20" Type="http://schemas.openxmlformats.org/officeDocument/2006/relationships/hyperlink" Target="http://www.ecuadorinmediato.com/index.php?module=Noticias&amp;func=news_user_view&amp;id=2818811483" TargetMode="External"/><Relationship Id="rId41" Type="http://schemas.openxmlformats.org/officeDocument/2006/relationships/hyperlink" Target="http://www.eltelegrafo.com.ec/noticias/sociedad/4/medidas-que-ecuador-implementa-para-enfrentar-el-cambio-climatico-son-expuestas-durante-el-cop22"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armen.galarza@wfp.org" TargetMode="External"/><Relationship Id="rId1" Type="http://schemas.openxmlformats.org/officeDocument/2006/relationships/hyperlink" Target="mailto:diegog.guzman@ambiente.gob.e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81"/>
  <sheetViews>
    <sheetView zoomScale="90" zoomScaleNormal="90" workbookViewId="0">
      <selection activeCell="D26" sqref="D26"/>
    </sheetView>
  </sheetViews>
  <sheetFormatPr defaultColWidth="102.26953125" defaultRowHeight="14" x14ac:dyDescent="0.3"/>
  <cols>
    <col min="1" max="1" width="2.54296875" style="1" customWidth="1"/>
    <col min="2" max="2" width="10.81640625" style="74" customWidth="1"/>
    <col min="3" max="3" width="14.81640625" style="74" customWidth="1"/>
    <col min="4" max="4" width="117"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75"/>
      <c r="C2" s="76"/>
      <c r="D2" s="50"/>
      <c r="E2" s="51"/>
    </row>
    <row r="3" spans="2:16" ht="18" thickBot="1" x14ac:dyDescent="0.4">
      <c r="B3" s="77"/>
      <c r="C3" s="78"/>
      <c r="D3" s="62" t="s">
        <v>0</v>
      </c>
      <c r="E3" s="53"/>
    </row>
    <row r="4" spans="2:16" ht="14.5" thickBot="1" x14ac:dyDescent="0.35">
      <c r="B4" s="77"/>
      <c r="C4" s="78"/>
      <c r="D4" s="52"/>
      <c r="E4" s="53"/>
    </row>
    <row r="5" spans="2:16" ht="14.5" thickBot="1" x14ac:dyDescent="0.35">
      <c r="B5" s="77"/>
      <c r="C5" s="81" t="s">
        <v>1</v>
      </c>
      <c r="D5" s="89" t="s">
        <v>2</v>
      </c>
      <c r="E5" s="53"/>
    </row>
    <row r="6" spans="2:16" s="3" customFormat="1" ht="14.5" thickBot="1" x14ac:dyDescent="0.35">
      <c r="B6" s="79"/>
      <c r="C6" s="60"/>
      <c r="D6" s="26"/>
      <c r="E6" s="24"/>
      <c r="G6" s="2"/>
      <c r="H6" s="2"/>
      <c r="I6" s="2"/>
      <c r="J6" s="2"/>
      <c r="K6" s="2"/>
      <c r="L6" s="2"/>
      <c r="M6" s="2"/>
      <c r="N6" s="2"/>
      <c r="O6" s="2"/>
      <c r="P6" s="2"/>
    </row>
    <row r="7" spans="2:16" s="3" customFormat="1" ht="28.5" thickBot="1" x14ac:dyDescent="0.35">
      <c r="B7" s="79"/>
      <c r="C7" s="54" t="s">
        <v>3</v>
      </c>
      <c r="D7" s="763" t="s">
        <v>1342</v>
      </c>
      <c r="E7" s="24"/>
      <c r="G7" s="2"/>
      <c r="H7" s="2"/>
      <c r="I7" s="2"/>
      <c r="J7" s="2"/>
      <c r="K7" s="2"/>
      <c r="L7" s="2"/>
      <c r="M7" s="2"/>
      <c r="N7" s="2"/>
      <c r="O7" s="2"/>
      <c r="P7" s="2"/>
    </row>
    <row r="8" spans="2:16" s="3" customFormat="1" x14ac:dyDescent="0.3">
      <c r="B8" s="77"/>
      <c r="C8" s="78"/>
      <c r="D8" s="52"/>
      <c r="E8" s="24"/>
      <c r="G8" s="2"/>
      <c r="H8" s="2"/>
      <c r="I8" s="2"/>
      <c r="J8" s="2"/>
      <c r="K8" s="2"/>
      <c r="L8" s="2"/>
      <c r="M8" s="2"/>
      <c r="N8" s="2"/>
      <c r="O8" s="2"/>
      <c r="P8" s="2"/>
    </row>
    <row r="9" spans="2:16" s="3" customFormat="1" x14ac:dyDescent="0.3">
      <c r="B9" s="77"/>
      <c r="C9" s="78"/>
      <c r="D9" s="52"/>
      <c r="E9" s="24"/>
      <c r="G9" s="2"/>
      <c r="H9" s="2"/>
      <c r="I9" s="2"/>
      <c r="J9" s="2"/>
      <c r="K9" s="2"/>
      <c r="L9" s="2"/>
      <c r="M9" s="2"/>
      <c r="N9" s="2"/>
      <c r="O9" s="2"/>
      <c r="P9" s="2"/>
    </row>
    <row r="10" spans="2:16" s="3" customFormat="1" x14ac:dyDescent="0.3">
      <c r="B10" s="77"/>
      <c r="C10" s="78"/>
      <c r="D10" s="52"/>
      <c r="E10" s="24"/>
      <c r="G10" s="2"/>
      <c r="H10" s="2"/>
      <c r="I10" s="2"/>
      <c r="J10" s="2"/>
      <c r="K10" s="2"/>
      <c r="L10" s="2"/>
      <c r="M10" s="2"/>
      <c r="N10" s="2"/>
      <c r="O10" s="2"/>
      <c r="P10" s="2"/>
    </row>
    <row r="11" spans="2:16" s="3" customFormat="1" x14ac:dyDescent="0.3">
      <c r="B11" s="77"/>
      <c r="C11" s="78"/>
      <c r="D11" s="52"/>
      <c r="E11" s="24"/>
      <c r="G11" s="2"/>
      <c r="H11" s="2"/>
      <c r="I11" s="2"/>
      <c r="J11" s="2"/>
      <c r="K11" s="2"/>
      <c r="L11" s="2"/>
      <c r="M11" s="2"/>
      <c r="N11" s="2"/>
      <c r="O11" s="2"/>
      <c r="P11" s="2"/>
    </row>
    <row r="12" spans="2:16" s="3" customFormat="1" ht="14.5" thickBot="1" x14ac:dyDescent="0.35">
      <c r="B12" s="79"/>
      <c r="C12" s="60"/>
      <c r="D12" s="26"/>
      <c r="E12" s="24"/>
      <c r="G12" s="2"/>
      <c r="H12" s="2"/>
      <c r="I12" s="2"/>
      <c r="J12" s="2"/>
      <c r="K12" s="2"/>
      <c r="L12" s="2"/>
      <c r="M12" s="2"/>
      <c r="N12" s="2"/>
      <c r="O12" s="2"/>
      <c r="P12" s="2"/>
    </row>
    <row r="13" spans="2:16" s="3" customFormat="1" ht="378.5" thickBot="1" x14ac:dyDescent="0.35">
      <c r="B13" s="79"/>
      <c r="C13" s="55" t="s">
        <v>4</v>
      </c>
      <c r="D13" s="763" t="s">
        <v>1343</v>
      </c>
      <c r="E13" s="24"/>
      <c r="G13" s="2"/>
      <c r="H13" s="2"/>
      <c r="I13" s="2"/>
      <c r="J13" s="2"/>
      <c r="K13" s="2"/>
      <c r="L13" s="2"/>
      <c r="M13" s="2"/>
      <c r="N13" s="2"/>
      <c r="O13" s="2"/>
      <c r="P13" s="2"/>
    </row>
    <row r="14" spans="2:16" s="3" customFormat="1" ht="14.5" thickBot="1" x14ac:dyDescent="0.35">
      <c r="B14" s="79"/>
      <c r="C14" s="60"/>
      <c r="D14" s="26"/>
      <c r="E14" s="24"/>
      <c r="G14" s="2"/>
      <c r="H14" s="2" t="s">
        <v>5</v>
      </c>
      <c r="I14" s="2" t="s">
        <v>6</v>
      </c>
      <c r="J14" s="2"/>
      <c r="K14" s="2" t="s">
        <v>7</v>
      </c>
      <c r="L14" s="2" t="s">
        <v>8</v>
      </c>
      <c r="M14" s="2" t="s">
        <v>9</v>
      </c>
      <c r="N14" s="2" t="s">
        <v>10</v>
      </c>
      <c r="O14" s="2" t="s">
        <v>11</v>
      </c>
      <c r="P14" s="2" t="s">
        <v>12</v>
      </c>
    </row>
    <row r="15" spans="2:16" s="3" customFormat="1" x14ac:dyDescent="0.3">
      <c r="B15" s="79"/>
      <c r="C15" s="56" t="s">
        <v>13</v>
      </c>
      <c r="D15" s="8"/>
      <c r="E15" s="24"/>
      <c r="G15" s="2"/>
      <c r="H15" s="4" t="s">
        <v>14</v>
      </c>
      <c r="I15" s="2" t="s">
        <v>15</v>
      </c>
      <c r="J15" s="2" t="s">
        <v>16</v>
      </c>
      <c r="K15" s="2" t="s">
        <v>17</v>
      </c>
      <c r="L15" s="2">
        <v>1</v>
      </c>
      <c r="M15" s="2">
        <v>1</v>
      </c>
      <c r="N15" s="2" t="s">
        <v>18</v>
      </c>
      <c r="O15" s="2" t="s">
        <v>19</v>
      </c>
      <c r="P15" s="2" t="s">
        <v>20</v>
      </c>
    </row>
    <row r="16" spans="2:16" s="3" customFormat="1" x14ac:dyDescent="0.3">
      <c r="B16" s="780" t="s">
        <v>21</v>
      </c>
      <c r="C16" s="782"/>
      <c r="D16" s="519" t="s">
        <v>22</v>
      </c>
      <c r="E16" s="24"/>
      <c r="G16" s="2"/>
      <c r="H16" s="4" t="s">
        <v>23</v>
      </c>
      <c r="I16" s="2" t="s">
        <v>24</v>
      </c>
      <c r="J16" s="2" t="s">
        <v>25</v>
      </c>
      <c r="K16" s="2" t="s">
        <v>26</v>
      </c>
      <c r="L16" s="2">
        <v>2</v>
      </c>
      <c r="M16" s="2">
        <v>2</v>
      </c>
      <c r="N16" s="2" t="s">
        <v>27</v>
      </c>
      <c r="O16" s="2" t="s">
        <v>28</v>
      </c>
      <c r="P16" s="2" t="s">
        <v>29</v>
      </c>
    </row>
    <row r="17" spans="2:16" s="3" customFormat="1" x14ac:dyDescent="0.3">
      <c r="B17" s="79"/>
      <c r="C17" s="56" t="s">
        <v>30</v>
      </c>
      <c r="D17" s="520" t="s">
        <v>31</v>
      </c>
      <c r="E17" s="24"/>
      <c r="G17" s="2"/>
      <c r="H17" s="4" t="s">
        <v>32</v>
      </c>
      <c r="I17" s="2" t="s">
        <v>33</v>
      </c>
      <c r="J17" s="2"/>
      <c r="K17" s="2" t="s">
        <v>34</v>
      </c>
      <c r="L17" s="2">
        <v>3</v>
      </c>
      <c r="M17" s="2">
        <v>3</v>
      </c>
      <c r="N17" s="2" t="s">
        <v>35</v>
      </c>
      <c r="O17" s="2" t="s">
        <v>36</v>
      </c>
      <c r="P17" s="2" t="s">
        <v>37</v>
      </c>
    </row>
    <row r="18" spans="2:16" s="3" customFormat="1" ht="14.5" thickBot="1" x14ac:dyDescent="0.35">
      <c r="B18" s="80"/>
      <c r="C18" s="55" t="s">
        <v>38</v>
      </c>
      <c r="D18" s="521" t="s">
        <v>39</v>
      </c>
      <c r="E18" s="24"/>
      <c r="G18" s="2"/>
      <c r="H18" s="4" t="s">
        <v>40</v>
      </c>
      <c r="I18" s="2"/>
      <c r="J18" s="2"/>
      <c r="K18" s="2" t="s">
        <v>41</v>
      </c>
      <c r="L18" s="2">
        <v>5</v>
      </c>
      <c r="M18" s="2">
        <v>5</v>
      </c>
      <c r="N18" s="2" t="s">
        <v>42</v>
      </c>
      <c r="O18" s="2" t="s">
        <v>43</v>
      </c>
      <c r="P18" s="2" t="s">
        <v>44</v>
      </c>
    </row>
    <row r="19" spans="2:16" s="3" customFormat="1" ht="42.5" thickBot="1" x14ac:dyDescent="0.35">
      <c r="B19" s="783" t="s">
        <v>45</v>
      </c>
      <c r="C19" s="784"/>
      <c r="D19" s="764" t="s">
        <v>1344</v>
      </c>
      <c r="E19" s="24"/>
      <c r="G19" s="2"/>
      <c r="H19" s="4" t="s">
        <v>46</v>
      </c>
      <c r="I19" s="2"/>
      <c r="J19" s="2"/>
      <c r="K19" s="2" t="s">
        <v>47</v>
      </c>
      <c r="L19" s="2"/>
      <c r="M19" s="2"/>
      <c r="N19" s="2"/>
      <c r="O19" s="2" t="s">
        <v>48</v>
      </c>
      <c r="P19" s="2" t="s">
        <v>49</v>
      </c>
    </row>
    <row r="20" spans="2:16" s="3" customFormat="1" x14ac:dyDescent="0.3">
      <c r="B20" s="79"/>
      <c r="C20" s="55"/>
      <c r="D20" s="26"/>
      <c r="E20" s="53"/>
      <c r="F20" s="4"/>
      <c r="G20" s="2"/>
      <c r="H20" s="2"/>
      <c r="J20" s="2"/>
      <c r="K20" s="2"/>
      <c r="L20" s="2"/>
      <c r="M20" s="2" t="s">
        <v>50</v>
      </c>
      <c r="N20" s="2" t="s">
        <v>51</v>
      </c>
    </row>
    <row r="21" spans="2:16" s="3" customFormat="1" x14ac:dyDescent="0.3">
      <c r="B21" s="79"/>
      <c r="C21" s="81" t="s">
        <v>52</v>
      </c>
      <c r="D21" s="26"/>
      <c r="E21" s="53"/>
      <c r="F21" s="4"/>
      <c r="G21" s="2"/>
      <c r="H21" s="2"/>
      <c r="J21" s="2"/>
      <c r="K21" s="2"/>
      <c r="L21" s="2"/>
      <c r="M21" s="2" t="s">
        <v>53</v>
      </c>
      <c r="N21" s="2" t="s">
        <v>54</v>
      </c>
    </row>
    <row r="22" spans="2:16" s="3" customFormat="1" ht="14.5" thickBot="1" x14ac:dyDescent="0.35">
      <c r="B22" s="79"/>
      <c r="C22" s="82" t="s">
        <v>55</v>
      </c>
      <c r="D22" s="26"/>
      <c r="E22" s="24"/>
      <c r="G22" s="2"/>
      <c r="H22" s="4" t="s">
        <v>56</v>
      </c>
      <c r="I22" s="2"/>
      <c r="J22" s="2"/>
      <c r="L22" s="2"/>
      <c r="M22" s="2"/>
      <c r="N22" s="2"/>
      <c r="O22" s="2" t="s">
        <v>57</v>
      </c>
      <c r="P22" s="2" t="s">
        <v>58</v>
      </c>
    </row>
    <row r="23" spans="2:16" s="3" customFormat="1" x14ac:dyDescent="0.3">
      <c r="B23" s="780" t="s">
        <v>59</v>
      </c>
      <c r="C23" s="782"/>
      <c r="D23" s="785" t="s">
        <v>60</v>
      </c>
      <c r="E23" s="24"/>
      <c r="G23" s="2"/>
      <c r="H23" s="4"/>
      <c r="I23" s="2"/>
      <c r="J23" s="2"/>
      <c r="L23" s="2"/>
      <c r="M23" s="2"/>
      <c r="N23" s="2"/>
      <c r="O23" s="2"/>
      <c r="P23" s="2"/>
    </row>
    <row r="24" spans="2:16" s="3" customFormat="1" x14ac:dyDescent="0.3">
      <c r="B24" s="780"/>
      <c r="C24" s="782"/>
      <c r="D24" s="786"/>
      <c r="E24" s="24"/>
      <c r="G24" s="2"/>
      <c r="H24" s="4"/>
      <c r="I24" s="2"/>
      <c r="J24" s="2"/>
      <c r="L24" s="2"/>
      <c r="M24" s="2"/>
      <c r="N24" s="2"/>
      <c r="O24" s="2"/>
      <c r="P24" s="2"/>
    </row>
    <row r="25" spans="2:16" s="3" customFormat="1" x14ac:dyDescent="0.3">
      <c r="B25" s="780" t="s">
        <v>61</v>
      </c>
      <c r="C25" s="782"/>
      <c r="D25" s="522" t="s">
        <v>62</v>
      </c>
      <c r="E25" s="24"/>
      <c r="F25" s="2"/>
      <c r="G25" s="4"/>
      <c r="H25" s="2"/>
      <c r="I25" s="2"/>
      <c r="K25" s="2"/>
      <c r="L25" s="2"/>
      <c r="M25" s="2"/>
      <c r="N25" s="2" t="s">
        <v>63</v>
      </c>
      <c r="O25" s="2" t="s">
        <v>64</v>
      </c>
    </row>
    <row r="26" spans="2:16" s="3" customFormat="1" x14ac:dyDescent="0.3">
      <c r="B26" s="780" t="s">
        <v>65</v>
      </c>
      <c r="C26" s="782"/>
      <c r="D26" s="522" t="s">
        <v>66</v>
      </c>
      <c r="E26" s="24"/>
      <c r="F26" s="2"/>
      <c r="G26" s="4"/>
      <c r="H26" s="2"/>
      <c r="I26" s="2"/>
      <c r="K26" s="2"/>
      <c r="L26" s="2"/>
      <c r="M26" s="2"/>
      <c r="N26" s="2" t="s">
        <v>67</v>
      </c>
      <c r="O26" s="2" t="s">
        <v>68</v>
      </c>
    </row>
    <row r="27" spans="2:16" s="3" customFormat="1" x14ac:dyDescent="0.3">
      <c r="B27" s="780" t="s">
        <v>69</v>
      </c>
      <c r="C27" s="782"/>
      <c r="D27" s="522" t="s">
        <v>70</v>
      </c>
      <c r="E27" s="57"/>
      <c r="F27" s="2"/>
      <c r="G27" s="4"/>
      <c r="H27" s="2"/>
      <c r="I27" s="2"/>
      <c r="J27" s="2"/>
      <c r="K27" s="2"/>
      <c r="L27" s="2"/>
      <c r="M27" s="2"/>
      <c r="N27" s="2"/>
      <c r="O27" s="2"/>
    </row>
    <row r="28" spans="2:16" s="3" customFormat="1" ht="14.5" thickBot="1" x14ac:dyDescent="0.35">
      <c r="B28" s="79"/>
      <c r="C28" s="56" t="s">
        <v>71</v>
      </c>
      <c r="D28" s="147" t="s">
        <v>72</v>
      </c>
      <c r="E28" s="24"/>
      <c r="F28" s="2"/>
      <c r="G28" s="4"/>
      <c r="H28" s="2"/>
      <c r="I28" s="2"/>
      <c r="J28" s="2"/>
      <c r="K28" s="2"/>
      <c r="L28" s="2"/>
      <c r="M28" s="2"/>
      <c r="N28" s="2"/>
      <c r="O28" s="2"/>
    </row>
    <row r="29" spans="2:16" s="3" customFormat="1" x14ac:dyDescent="0.3">
      <c r="B29" s="79"/>
      <c r="C29" s="60"/>
      <c r="D29" s="58"/>
      <c r="E29" s="24"/>
      <c r="F29" s="2"/>
      <c r="G29" s="4"/>
      <c r="H29" s="2"/>
      <c r="I29" s="2"/>
      <c r="J29" s="2"/>
      <c r="K29" s="2"/>
      <c r="L29" s="2"/>
      <c r="M29" s="2"/>
      <c r="N29" s="2"/>
      <c r="O29" s="2"/>
    </row>
    <row r="30" spans="2:16" s="3" customFormat="1" ht="14.5" thickBot="1" x14ac:dyDescent="0.35">
      <c r="B30" s="79"/>
      <c r="C30" s="60"/>
      <c r="D30" s="59" t="s">
        <v>73</v>
      </c>
      <c r="E30" s="24"/>
      <c r="G30" s="2"/>
      <c r="H30" s="4" t="s">
        <v>74</v>
      </c>
      <c r="I30" s="2"/>
      <c r="J30" s="2"/>
      <c r="K30" s="2"/>
      <c r="L30" s="2"/>
      <c r="M30" s="2"/>
      <c r="N30" s="2"/>
      <c r="O30" s="2"/>
      <c r="P30" s="2"/>
    </row>
    <row r="31" spans="2:16" s="3" customFormat="1" ht="378.5" thickBot="1" x14ac:dyDescent="0.35">
      <c r="B31" s="79"/>
      <c r="C31" s="60"/>
      <c r="D31" s="118" t="s">
        <v>75</v>
      </c>
      <c r="E31" s="24"/>
      <c r="F31" s="5"/>
      <c r="G31" s="2"/>
      <c r="H31" s="4" t="s">
        <v>76</v>
      </c>
      <c r="I31" s="2"/>
      <c r="J31" s="2"/>
      <c r="K31" s="2"/>
      <c r="L31" s="2"/>
      <c r="M31" s="2"/>
      <c r="N31" s="2"/>
      <c r="O31" s="2"/>
      <c r="P31" s="2"/>
    </row>
    <row r="32" spans="2:16" s="3" customFormat="1" ht="14.5" thickBot="1" x14ac:dyDescent="0.35">
      <c r="B32" s="780" t="s">
        <v>77</v>
      </c>
      <c r="C32" s="781"/>
      <c r="D32" s="26"/>
      <c r="E32" s="24"/>
      <c r="G32" s="2"/>
      <c r="H32" s="4" t="s">
        <v>78</v>
      </c>
      <c r="I32" s="2"/>
      <c r="J32" s="2"/>
      <c r="K32" s="2"/>
      <c r="L32" s="2"/>
      <c r="M32" s="2"/>
      <c r="N32" s="2"/>
      <c r="O32" s="2"/>
      <c r="P32" s="2"/>
    </row>
    <row r="33" spans="1:16" s="3" customFormat="1" ht="14.5" thickBot="1" x14ac:dyDescent="0.35">
      <c r="B33" s="79"/>
      <c r="C33" s="60"/>
      <c r="D33" s="9" t="s">
        <v>79</v>
      </c>
      <c r="E33" s="24"/>
      <c r="G33" s="2"/>
      <c r="H33" s="4" t="s">
        <v>80</v>
      </c>
      <c r="I33" s="2"/>
      <c r="J33" s="2"/>
      <c r="K33" s="2"/>
      <c r="L33" s="2"/>
      <c r="M33" s="2"/>
      <c r="N33" s="2"/>
      <c r="O33" s="2"/>
      <c r="P33" s="2"/>
    </row>
    <row r="34" spans="1:16" s="3" customFormat="1" x14ac:dyDescent="0.3">
      <c r="B34" s="79"/>
      <c r="C34" s="60"/>
      <c r="D34" s="26"/>
      <c r="E34" s="24"/>
      <c r="F34" s="5"/>
      <c r="G34" s="2"/>
      <c r="H34" s="4" t="s">
        <v>81</v>
      </c>
      <c r="I34" s="2"/>
      <c r="J34" s="2"/>
      <c r="K34" s="2"/>
      <c r="L34" s="2"/>
      <c r="M34" s="2"/>
      <c r="N34" s="2"/>
      <c r="O34" s="2"/>
      <c r="P34" s="2"/>
    </row>
    <row r="35" spans="1:16" s="3" customFormat="1" x14ac:dyDescent="0.3">
      <c r="B35" s="79"/>
      <c r="C35" s="83" t="s">
        <v>82</v>
      </c>
      <c r="D35" s="26"/>
      <c r="E35" s="24"/>
      <c r="G35" s="2"/>
      <c r="H35" s="4" t="s">
        <v>83</v>
      </c>
      <c r="I35" s="2"/>
      <c r="J35" s="2"/>
      <c r="K35" s="2"/>
      <c r="L35" s="2"/>
      <c r="M35" s="2"/>
      <c r="N35" s="2"/>
      <c r="O35" s="2"/>
      <c r="P35" s="2"/>
    </row>
    <row r="36" spans="1:16" s="3" customFormat="1" ht="14.5" thickBot="1" x14ac:dyDescent="0.35">
      <c r="B36" s="780" t="s">
        <v>84</v>
      </c>
      <c r="C36" s="781"/>
      <c r="D36" s="26"/>
      <c r="E36" s="24"/>
      <c r="G36" s="2"/>
      <c r="H36" s="4" t="s">
        <v>85</v>
      </c>
      <c r="I36" s="2"/>
      <c r="J36" s="2"/>
      <c r="K36" s="2"/>
      <c r="L36" s="2"/>
      <c r="M36" s="2"/>
      <c r="N36" s="2"/>
      <c r="O36" s="2"/>
      <c r="P36" s="2"/>
    </row>
    <row r="37" spans="1:16" s="3" customFormat="1" x14ac:dyDescent="0.3">
      <c r="B37" s="79"/>
      <c r="C37" s="60" t="s">
        <v>86</v>
      </c>
      <c r="D37" s="119" t="s">
        <v>87</v>
      </c>
      <c r="E37" s="24"/>
      <c r="G37" s="2"/>
      <c r="H37" s="4" t="s">
        <v>88</v>
      </c>
      <c r="I37" s="2"/>
      <c r="J37" s="2"/>
      <c r="K37" s="2"/>
      <c r="L37" s="2"/>
      <c r="M37" s="2"/>
      <c r="N37" s="2"/>
      <c r="O37" s="2"/>
      <c r="P37" s="2"/>
    </row>
    <row r="38" spans="1:16" s="3" customFormat="1" ht="14.5" x14ac:dyDescent="0.35">
      <c r="B38" s="79"/>
      <c r="C38" s="60" t="s">
        <v>89</v>
      </c>
      <c r="D38" s="523" t="s">
        <v>90</v>
      </c>
      <c r="E38" s="24"/>
      <c r="G38" s="2"/>
      <c r="H38" s="4" t="s">
        <v>39</v>
      </c>
      <c r="I38" s="2"/>
      <c r="J38" s="2"/>
      <c r="K38" s="2"/>
      <c r="L38" s="2"/>
      <c r="M38" s="2"/>
      <c r="N38" s="2"/>
      <c r="O38" s="2"/>
      <c r="P38" s="2"/>
    </row>
    <row r="39" spans="1:16" s="3" customFormat="1" ht="14.5" thickBot="1" x14ac:dyDescent="0.35">
      <c r="B39" s="79"/>
      <c r="C39" s="60" t="s">
        <v>91</v>
      </c>
      <c r="D39" s="11"/>
      <c r="E39" s="24"/>
      <c r="G39" s="2"/>
      <c r="H39" s="4" t="s">
        <v>92</v>
      </c>
      <c r="I39" s="2"/>
      <c r="J39" s="2"/>
      <c r="K39" s="2"/>
      <c r="L39" s="2"/>
      <c r="M39" s="2"/>
      <c r="N39" s="2"/>
      <c r="O39" s="2"/>
      <c r="P39" s="2"/>
    </row>
    <row r="40" spans="1:16" s="3" customFormat="1" ht="14.5" thickBot="1" x14ac:dyDescent="0.35">
      <c r="B40" s="79"/>
      <c r="C40" s="56" t="s">
        <v>93</v>
      </c>
      <c r="D40" s="26"/>
      <c r="E40" s="24"/>
      <c r="G40" s="2"/>
      <c r="H40" s="4" t="s">
        <v>94</v>
      </c>
      <c r="I40" s="2"/>
      <c r="J40" s="2"/>
      <c r="K40" s="2"/>
      <c r="L40" s="2"/>
      <c r="M40" s="2"/>
      <c r="N40" s="2"/>
      <c r="O40" s="2"/>
      <c r="P40" s="2"/>
    </row>
    <row r="41" spans="1:16" s="3" customFormat="1" x14ac:dyDescent="0.3">
      <c r="B41" s="79"/>
      <c r="C41" s="60" t="s">
        <v>86</v>
      </c>
      <c r="D41" s="10" t="s">
        <v>95</v>
      </c>
      <c r="E41" s="24"/>
      <c r="G41" s="2"/>
      <c r="H41" s="4" t="s">
        <v>96</v>
      </c>
      <c r="I41" s="2"/>
      <c r="J41" s="2"/>
      <c r="K41" s="2"/>
      <c r="L41" s="2"/>
      <c r="M41" s="2"/>
      <c r="N41" s="2"/>
      <c r="O41" s="2"/>
      <c r="P41" s="2"/>
    </row>
    <row r="42" spans="1:16" s="3" customFormat="1" ht="14.5" x14ac:dyDescent="0.35">
      <c r="B42" s="79"/>
      <c r="C42" s="60" t="s">
        <v>89</v>
      </c>
      <c r="D42" s="524" t="s">
        <v>97</v>
      </c>
      <c r="E42" s="24"/>
      <c r="G42" s="2"/>
      <c r="H42" s="4" t="s">
        <v>98</v>
      </c>
      <c r="I42" s="2"/>
      <c r="J42" s="2"/>
      <c r="K42" s="2"/>
      <c r="L42" s="2"/>
      <c r="M42" s="2"/>
      <c r="N42" s="2"/>
      <c r="O42" s="2"/>
      <c r="P42" s="2"/>
    </row>
    <row r="43" spans="1:16" s="3" customFormat="1" ht="14.5" thickBot="1" x14ac:dyDescent="0.35">
      <c r="B43" s="79"/>
      <c r="C43" s="60" t="s">
        <v>91</v>
      </c>
      <c r="D43" s="11"/>
      <c r="E43" s="24"/>
      <c r="G43" s="2"/>
      <c r="H43" s="4" t="s">
        <v>99</v>
      </c>
      <c r="I43" s="2"/>
      <c r="J43" s="2"/>
      <c r="K43" s="2"/>
      <c r="L43" s="2"/>
      <c r="M43" s="2"/>
      <c r="N43" s="2"/>
      <c r="O43" s="2"/>
      <c r="P43" s="2"/>
    </row>
    <row r="44" spans="1:16" s="3" customFormat="1" ht="14.5" thickBot="1" x14ac:dyDescent="0.35">
      <c r="B44" s="79"/>
      <c r="C44" s="56" t="s">
        <v>100</v>
      </c>
      <c r="D44" s="26"/>
      <c r="E44" s="24"/>
      <c r="G44" s="2"/>
      <c r="H44" s="4" t="s">
        <v>101</v>
      </c>
      <c r="I44" s="2"/>
      <c r="J44" s="2"/>
      <c r="K44" s="2"/>
      <c r="L44" s="2"/>
      <c r="M44" s="2"/>
      <c r="N44" s="2"/>
      <c r="O44" s="2"/>
      <c r="P44" s="2"/>
    </row>
    <row r="45" spans="1:16" s="3" customFormat="1" x14ac:dyDescent="0.3">
      <c r="B45" s="79"/>
      <c r="C45" s="60" t="s">
        <v>86</v>
      </c>
      <c r="D45" s="10" t="s">
        <v>102</v>
      </c>
      <c r="E45" s="24"/>
      <c r="G45" s="2"/>
      <c r="H45" s="4" t="s">
        <v>103</v>
      </c>
      <c r="I45" s="2"/>
      <c r="J45" s="2"/>
      <c r="K45" s="2"/>
      <c r="L45" s="2"/>
      <c r="M45" s="2"/>
      <c r="N45" s="2"/>
      <c r="O45" s="2"/>
      <c r="P45" s="2"/>
    </row>
    <row r="46" spans="1:16" s="3" customFormat="1" ht="14.5" x14ac:dyDescent="0.35">
      <c r="B46" s="79"/>
      <c r="C46" s="60" t="s">
        <v>89</v>
      </c>
      <c r="D46" s="524" t="s">
        <v>104</v>
      </c>
      <c r="E46" s="24"/>
      <c r="G46" s="2"/>
      <c r="H46" s="4" t="s">
        <v>105</v>
      </c>
      <c r="I46" s="2"/>
      <c r="J46" s="2"/>
      <c r="K46" s="2"/>
      <c r="L46" s="2"/>
      <c r="M46" s="2"/>
      <c r="N46" s="2"/>
      <c r="O46" s="2"/>
      <c r="P46" s="2"/>
    </row>
    <row r="47" spans="1:16" ht="14.5" thickBot="1" x14ac:dyDescent="0.35">
      <c r="A47" s="3"/>
      <c r="B47" s="79"/>
      <c r="C47" s="60" t="s">
        <v>91</v>
      </c>
      <c r="D47" s="11"/>
      <c r="E47" s="24"/>
      <c r="H47" s="4" t="s">
        <v>106</v>
      </c>
    </row>
    <row r="48" spans="1:16" ht="14.5" thickBot="1" x14ac:dyDescent="0.35">
      <c r="B48" s="79"/>
      <c r="C48" s="56" t="s">
        <v>107</v>
      </c>
      <c r="D48" s="26"/>
      <c r="E48" s="24"/>
      <c r="H48" s="4" t="s">
        <v>108</v>
      </c>
    </row>
    <row r="49" spans="2:8" x14ac:dyDescent="0.3">
      <c r="B49" s="79"/>
      <c r="C49" s="60" t="s">
        <v>86</v>
      </c>
      <c r="D49" s="10" t="s">
        <v>109</v>
      </c>
      <c r="E49" s="24"/>
      <c r="H49" s="4" t="s">
        <v>110</v>
      </c>
    </row>
    <row r="50" spans="2:8" ht="14.5" x14ac:dyDescent="0.35">
      <c r="B50" s="79"/>
      <c r="C50" s="60" t="s">
        <v>89</v>
      </c>
      <c r="D50" s="524" t="s">
        <v>111</v>
      </c>
      <c r="E50" s="24"/>
      <c r="H50" s="4" t="s">
        <v>112</v>
      </c>
    </row>
    <row r="51" spans="2:8" ht="14.5" thickBot="1" x14ac:dyDescent="0.35">
      <c r="B51" s="79"/>
      <c r="C51" s="60" t="s">
        <v>91</v>
      </c>
      <c r="D51" s="11"/>
      <c r="E51" s="24"/>
      <c r="H51" s="4" t="s">
        <v>113</v>
      </c>
    </row>
    <row r="52" spans="2:8" ht="14.5" thickBot="1" x14ac:dyDescent="0.35">
      <c r="B52" s="79"/>
      <c r="C52" s="56" t="s">
        <v>107</v>
      </c>
      <c r="D52" s="26"/>
      <c r="E52" s="24"/>
      <c r="H52" s="4" t="s">
        <v>114</v>
      </c>
    </row>
    <row r="53" spans="2:8" x14ac:dyDescent="0.3">
      <c r="B53" s="79"/>
      <c r="C53" s="60" t="s">
        <v>86</v>
      </c>
      <c r="D53" s="119" t="s">
        <v>115</v>
      </c>
      <c r="E53" s="24"/>
      <c r="H53" s="4" t="s">
        <v>116</v>
      </c>
    </row>
    <row r="54" spans="2:8" ht="14.5" x14ac:dyDescent="0.35">
      <c r="B54" s="79"/>
      <c r="C54" s="60" t="s">
        <v>89</v>
      </c>
      <c r="D54" s="523" t="s">
        <v>117</v>
      </c>
      <c r="E54" s="24"/>
      <c r="H54" s="4" t="s">
        <v>118</v>
      </c>
    </row>
    <row r="55" spans="2:8" ht="14.5" thickBot="1" x14ac:dyDescent="0.35">
      <c r="B55" s="79"/>
      <c r="C55" s="60" t="s">
        <v>91</v>
      </c>
      <c r="D55" s="11"/>
      <c r="E55" s="24"/>
      <c r="H55" s="4" t="s">
        <v>119</v>
      </c>
    </row>
    <row r="56" spans="2:8" ht="14.5" thickBot="1" x14ac:dyDescent="0.35">
      <c r="B56" s="79"/>
      <c r="C56" s="56" t="s">
        <v>107</v>
      </c>
      <c r="D56" s="26"/>
      <c r="E56" s="24"/>
      <c r="H56" s="4"/>
    </row>
    <row r="57" spans="2:8" x14ac:dyDescent="0.3">
      <c r="B57" s="79"/>
      <c r="C57" s="60" t="s">
        <v>86</v>
      </c>
      <c r="D57" s="119" t="s">
        <v>120</v>
      </c>
      <c r="E57" s="24"/>
      <c r="H57" s="4"/>
    </row>
    <row r="58" spans="2:8" ht="14.5" x14ac:dyDescent="0.35">
      <c r="B58" s="79"/>
      <c r="C58" s="60" t="s">
        <v>89</v>
      </c>
      <c r="D58" s="523" t="s">
        <v>121</v>
      </c>
      <c r="E58" s="24"/>
      <c r="H58" s="4"/>
    </row>
    <row r="59" spans="2:8" ht="14.5" thickBot="1" x14ac:dyDescent="0.35">
      <c r="B59" s="79"/>
      <c r="C59" s="60" t="s">
        <v>91</v>
      </c>
      <c r="D59" s="11"/>
      <c r="E59" s="24"/>
      <c r="H59" s="4"/>
    </row>
    <row r="60" spans="2:8" ht="14.5" thickBot="1" x14ac:dyDescent="0.35">
      <c r="B60" s="79"/>
      <c r="C60" s="56" t="s">
        <v>107</v>
      </c>
      <c r="D60" s="26"/>
      <c r="E60" s="24"/>
      <c r="H60" s="4" t="s">
        <v>122</v>
      </c>
    </row>
    <row r="61" spans="2:8" x14ac:dyDescent="0.3">
      <c r="B61" s="79"/>
      <c r="C61" s="60" t="s">
        <v>86</v>
      </c>
      <c r="D61" s="119" t="s">
        <v>1345</v>
      </c>
      <c r="E61" s="24"/>
      <c r="H61" s="4" t="s">
        <v>123</v>
      </c>
    </row>
    <row r="62" spans="2:8" ht="14.5" x14ac:dyDescent="0.35">
      <c r="B62" s="79"/>
      <c r="C62" s="60" t="s">
        <v>89</v>
      </c>
      <c r="D62" s="524" t="s">
        <v>124</v>
      </c>
      <c r="E62" s="24"/>
      <c r="H62" s="4" t="s">
        <v>125</v>
      </c>
    </row>
    <row r="63" spans="2:8" ht="14.5" thickBot="1" x14ac:dyDescent="0.35">
      <c r="B63" s="79"/>
      <c r="C63" s="60" t="s">
        <v>91</v>
      </c>
      <c r="D63" s="11"/>
      <c r="E63" s="24"/>
      <c r="H63" s="4" t="s">
        <v>126</v>
      </c>
    </row>
    <row r="64" spans="2:8" ht="14.5" thickBot="1" x14ac:dyDescent="0.35">
      <c r="B64" s="84"/>
      <c r="C64" s="85"/>
      <c r="D64" s="61"/>
      <c r="E64" s="30"/>
      <c r="H64" s="4" t="s">
        <v>127</v>
      </c>
    </row>
    <row r="65" spans="8:8" x14ac:dyDescent="0.3">
      <c r="H65" s="4" t="s">
        <v>128</v>
      </c>
    </row>
    <row r="66" spans="8:8" x14ac:dyDescent="0.3">
      <c r="H66" s="4" t="s">
        <v>129</v>
      </c>
    </row>
    <row r="67" spans="8:8" x14ac:dyDescent="0.3">
      <c r="H67" s="4" t="s">
        <v>130</v>
      </c>
    </row>
    <row r="68" spans="8:8" x14ac:dyDescent="0.3">
      <c r="H68" s="4" t="s">
        <v>131</v>
      </c>
    </row>
    <row r="69" spans="8:8" x14ac:dyDescent="0.3">
      <c r="H69" s="4" t="s">
        <v>132</v>
      </c>
    </row>
    <row r="70" spans="8:8" x14ac:dyDescent="0.3">
      <c r="H70" s="4" t="s">
        <v>133</v>
      </c>
    </row>
    <row r="71" spans="8:8" x14ac:dyDescent="0.3">
      <c r="H71" s="4" t="s">
        <v>134</v>
      </c>
    </row>
    <row r="72" spans="8:8" x14ac:dyDescent="0.3">
      <c r="H72" s="4" t="s">
        <v>135</v>
      </c>
    </row>
    <row r="73" spans="8:8" x14ac:dyDescent="0.3">
      <c r="H73" s="4" t="s">
        <v>136</v>
      </c>
    </row>
    <row r="74" spans="8:8" x14ac:dyDescent="0.3">
      <c r="H74" s="4" t="s">
        <v>137</v>
      </c>
    </row>
    <row r="75" spans="8:8" x14ac:dyDescent="0.3">
      <c r="H75" s="4" t="s">
        <v>138</v>
      </c>
    </row>
    <row r="76" spans="8:8" x14ac:dyDescent="0.3">
      <c r="H76" s="4" t="s">
        <v>139</v>
      </c>
    </row>
    <row r="77" spans="8:8" x14ac:dyDescent="0.3">
      <c r="H77" s="4" t="s">
        <v>140</v>
      </c>
    </row>
    <row r="78" spans="8:8" x14ac:dyDescent="0.3">
      <c r="H78" s="4" t="s">
        <v>141</v>
      </c>
    </row>
    <row r="79" spans="8:8" x14ac:dyDescent="0.3">
      <c r="H79" s="4" t="s">
        <v>142</v>
      </c>
    </row>
    <row r="80" spans="8:8" x14ac:dyDescent="0.3">
      <c r="H80" s="4" t="s">
        <v>143</v>
      </c>
    </row>
    <row r="81" spans="8:8" x14ac:dyDescent="0.3">
      <c r="H81" s="4" t="s">
        <v>144</v>
      </c>
    </row>
    <row r="82" spans="8:8" x14ac:dyDescent="0.3">
      <c r="H82" s="4" t="s">
        <v>145</v>
      </c>
    </row>
    <row r="83" spans="8:8" x14ac:dyDescent="0.3">
      <c r="H83" s="4" t="s">
        <v>146</v>
      </c>
    </row>
    <row r="84" spans="8:8" x14ac:dyDescent="0.3">
      <c r="H84" s="4" t="s">
        <v>147</v>
      </c>
    </row>
    <row r="85" spans="8:8" x14ac:dyDescent="0.3">
      <c r="H85" s="4" t="s">
        <v>148</v>
      </c>
    </row>
    <row r="86" spans="8:8" x14ac:dyDescent="0.3">
      <c r="H86" s="4" t="s">
        <v>149</v>
      </c>
    </row>
    <row r="87" spans="8:8" x14ac:dyDescent="0.3">
      <c r="H87" s="4" t="s">
        <v>150</v>
      </c>
    </row>
    <row r="88" spans="8:8" x14ac:dyDescent="0.3">
      <c r="H88" s="4" t="s">
        <v>151</v>
      </c>
    </row>
    <row r="89" spans="8:8" x14ac:dyDescent="0.3">
      <c r="H89" s="4" t="s">
        <v>152</v>
      </c>
    </row>
    <row r="90" spans="8:8" x14ac:dyDescent="0.3">
      <c r="H90" s="4" t="s">
        <v>153</v>
      </c>
    </row>
    <row r="91" spans="8:8" x14ac:dyDescent="0.3">
      <c r="H91" s="4" t="s">
        <v>154</v>
      </c>
    </row>
    <row r="92" spans="8:8" x14ac:dyDescent="0.3">
      <c r="H92" s="4" t="s">
        <v>155</v>
      </c>
    </row>
    <row r="93" spans="8:8" x14ac:dyDescent="0.3">
      <c r="H93" s="4" t="s">
        <v>156</v>
      </c>
    </row>
    <row r="94" spans="8:8" x14ac:dyDescent="0.3">
      <c r="H94" s="4" t="s">
        <v>157</v>
      </c>
    </row>
    <row r="95" spans="8:8" x14ac:dyDescent="0.3">
      <c r="H95" s="4" t="s">
        <v>158</v>
      </c>
    </row>
    <row r="96" spans="8:8" x14ac:dyDescent="0.3">
      <c r="H96" s="4" t="s">
        <v>159</v>
      </c>
    </row>
    <row r="97" spans="8:8" x14ac:dyDescent="0.3">
      <c r="H97" s="4" t="s">
        <v>160</v>
      </c>
    </row>
    <row r="98" spans="8:8" x14ac:dyDescent="0.3">
      <c r="H98" s="4" t="s">
        <v>161</v>
      </c>
    </row>
    <row r="99" spans="8:8" x14ac:dyDescent="0.3">
      <c r="H99" s="4" t="s">
        <v>162</v>
      </c>
    </row>
    <row r="100" spans="8:8" x14ac:dyDescent="0.3">
      <c r="H100" s="4" t="s">
        <v>163</v>
      </c>
    </row>
    <row r="101" spans="8:8" x14ac:dyDescent="0.3">
      <c r="H101" s="4" t="s">
        <v>164</v>
      </c>
    </row>
    <row r="102" spans="8:8" x14ac:dyDescent="0.3">
      <c r="H102" s="4" t="s">
        <v>165</v>
      </c>
    </row>
    <row r="103" spans="8:8" x14ac:dyDescent="0.3">
      <c r="H103" s="4" t="s">
        <v>166</v>
      </c>
    </row>
    <row r="104" spans="8:8" x14ac:dyDescent="0.3">
      <c r="H104" s="4" t="s">
        <v>167</v>
      </c>
    </row>
    <row r="105" spans="8:8" x14ac:dyDescent="0.3">
      <c r="H105" s="4" t="s">
        <v>168</v>
      </c>
    </row>
    <row r="106" spans="8:8" x14ac:dyDescent="0.3">
      <c r="H106" s="4" t="s">
        <v>169</v>
      </c>
    </row>
    <row r="107" spans="8:8" x14ac:dyDescent="0.3">
      <c r="H107" s="4" t="s">
        <v>170</v>
      </c>
    </row>
    <row r="108" spans="8:8" x14ac:dyDescent="0.3">
      <c r="H108" s="4" t="s">
        <v>171</v>
      </c>
    </row>
    <row r="109" spans="8:8" x14ac:dyDescent="0.3">
      <c r="H109" s="4" t="s">
        <v>172</v>
      </c>
    </row>
    <row r="110" spans="8:8" x14ac:dyDescent="0.3">
      <c r="H110" s="4" t="s">
        <v>173</v>
      </c>
    </row>
    <row r="111" spans="8:8" x14ac:dyDescent="0.3">
      <c r="H111" s="4" t="s">
        <v>174</v>
      </c>
    </row>
    <row r="112" spans="8:8" x14ac:dyDescent="0.3">
      <c r="H112" s="4" t="s">
        <v>175</v>
      </c>
    </row>
    <row r="113" spans="8:8" x14ac:dyDescent="0.3">
      <c r="H113" s="4" t="s">
        <v>176</v>
      </c>
    </row>
    <row r="114" spans="8:8" x14ac:dyDescent="0.3">
      <c r="H114" s="4" t="s">
        <v>177</v>
      </c>
    </row>
    <row r="115" spans="8:8" x14ac:dyDescent="0.3">
      <c r="H115" s="4" t="s">
        <v>178</v>
      </c>
    </row>
    <row r="116" spans="8:8" x14ac:dyDescent="0.3">
      <c r="H116" s="4" t="s">
        <v>179</v>
      </c>
    </row>
    <row r="117" spans="8:8" x14ac:dyDescent="0.3">
      <c r="H117" s="4" t="s">
        <v>180</v>
      </c>
    </row>
    <row r="118" spans="8:8" x14ac:dyDescent="0.3">
      <c r="H118" s="4" t="s">
        <v>181</v>
      </c>
    </row>
    <row r="119" spans="8:8" x14ac:dyDescent="0.3">
      <c r="H119" s="4" t="s">
        <v>182</v>
      </c>
    </row>
    <row r="120" spans="8:8" x14ac:dyDescent="0.3">
      <c r="H120" s="4" t="s">
        <v>183</v>
      </c>
    </row>
    <row r="121" spans="8:8" x14ac:dyDescent="0.3">
      <c r="H121" s="4" t="s">
        <v>184</v>
      </c>
    </row>
    <row r="122" spans="8:8" x14ac:dyDescent="0.3">
      <c r="H122" s="4" t="s">
        <v>185</v>
      </c>
    </row>
    <row r="123" spans="8:8" x14ac:dyDescent="0.3">
      <c r="H123" s="4" t="s">
        <v>186</v>
      </c>
    </row>
    <row r="124" spans="8:8" x14ac:dyDescent="0.3">
      <c r="H124" s="4" t="s">
        <v>187</v>
      </c>
    </row>
    <row r="125" spans="8:8" x14ac:dyDescent="0.3">
      <c r="H125" s="4" t="s">
        <v>188</v>
      </c>
    </row>
    <row r="126" spans="8:8" x14ac:dyDescent="0.3">
      <c r="H126" s="4" t="s">
        <v>189</v>
      </c>
    </row>
    <row r="127" spans="8:8" x14ac:dyDescent="0.3">
      <c r="H127" s="4" t="s">
        <v>190</v>
      </c>
    </row>
    <row r="128" spans="8:8" x14ac:dyDescent="0.3">
      <c r="H128" s="4" t="s">
        <v>191</v>
      </c>
    </row>
    <row r="129" spans="8:8" x14ac:dyDescent="0.3">
      <c r="H129" s="4" t="s">
        <v>192</v>
      </c>
    </row>
    <row r="130" spans="8:8" x14ac:dyDescent="0.3">
      <c r="H130" s="4" t="s">
        <v>193</v>
      </c>
    </row>
    <row r="131" spans="8:8" x14ac:dyDescent="0.3">
      <c r="H131" s="4" t="s">
        <v>194</v>
      </c>
    </row>
    <row r="132" spans="8:8" x14ac:dyDescent="0.3">
      <c r="H132" s="4" t="s">
        <v>195</v>
      </c>
    </row>
    <row r="133" spans="8:8" x14ac:dyDescent="0.3">
      <c r="H133" s="4" t="s">
        <v>196</v>
      </c>
    </row>
    <row r="134" spans="8:8" x14ac:dyDescent="0.3">
      <c r="H134" s="4" t="s">
        <v>197</v>
      </c>
    </row>
    <row r="135" spans="8:8" x14ac:dyDescent="0.3">
      <c r="H135" s="4" t="s">
        <v>198</v>
      </c>
    </row>
    <row r="136" spans="8:8" x14ac:dyDescent="0.3">
      <c r="H136" s="4" t="s">
        <v>199</v>
      </c>
    </row>
    <row r="137" spans="8:8" x14ac:dyDescent="0.3">
      <c r="H137" s="4" t="s">
        <v>200</v>
      </c>
    </row>
    <row r="138" spans="8:8" x14ac:dyDescent="0.3">
      <c r="H138" s="4" t="s">
        <v>201</v>
      </c>
    </row>
    <row r="139" spans="8:8" x14ac:dyDescent="0.3">
      <c r="H139" s="4" t="s">
        <v>202</v>
      </c>
    </row>
    <row r="140" spans="8:8" x14ac:dyDescent="0.3">
      <c r="H140" s="4" t="s">
        <v>203</v>
      </c>
    </row>
    <row r="141" spans="8:8" x14ac:dyDescent="0.3">
      <c r="H141" s="4" t="s">
        <v>204</v>
      </c>
    </row>
    <row r="142" spans="8:8" x14ac:dyDescent="0.3">
      <c r="H142" s="4" t="s">
        <v>205</v>
      </c>
    </row>
    <row r="143" spans="8:8" x14ac:dyDescent="0.3">
      <c r="H143" s="4" t="s">
        <v>206</v>
      </c>
    </row>
    <row r="144" spans="8:8" x14ac:dyDescent="0.3">
      <c r="H144" s="4" t="s">
        <v>207</v>
      </c>
    </row>
    <row r="145" spans="8:8" x14ac:dyDescent="0.3">
      <c r="H145" s="4" t="s">
        <v>208</v>
      </c>
    </row>
    <row r="146" spans="8:8" x14ac:dyDescent="0.3">
      <c r="H146" s="4" t="s">
        <v>209</v>
      </c>
    </row>
    <row r="147" spans="8:8" x14ac:dyDescent="0.3">
      <c r="H147" s="4" t="s">
        <v>210</v>
      </c>
    </row>
    <row r="148" spans="8:8" x14ac:dyDescent="0.3">
      <c r="H148" s="4" t="s">
        <v>211</v>
      </c>
    </row>
    <row r="149" spans="8:8" x14ac:dyDescent="0.3">
      <c r="H149" s="4" t="s">
        <v>212</v>
      </c>
    </row>
    <row r="150" spans="8:8" x14ac:dyDescent="0.3">
      <c r="H150" s="4" t="s">
        <v>213</v>
      </c>
    </row>
    <row r="151" spans="8:8" x14ac:dyDescent="0.3">
      <c r="H151" s="4" t="s">
        <v>214</v>
      </c>
    </row>
    <row r="152" spans="8:8" x14ac:dyDescent="0.3">
      <c r="H152" s="4" t="s">
        <v>215</v>
      </c>
    </row>
    <row r="153" spans="8:8" x14ac:dyDescent="0.3">
      <c r="H153" s="4" t="s">
        <v>216</v>
      </c>
    </row>
    <row r="154" spans="8:8" x14ac:dyDescent="0.3">
      <c r="H154" s="4" t="s">
        <v>217</v>
      </c>
    </row>
    <row r="155" spans="8:8" x14ac:dyDescent="0.3">
      <c r="H155" s="4" t="s">
        <v>218</v>
      </c>
    </row>
    <row r="156" spans="8:8" x14ac:dyDescent="0.3">
      <c r="H156" s="4" t="s">
        <v>219</v>
      </c>
    </row>
    <row r="157" spans="8:8" x14ac:dyDescent="0.3">
      <c r="H157" s="4" t="s">
        <v>220</v>
      </c>
    </row>
    <row r="158" spans="8:8" x14ac:dyDescent="0.3">
      <c r="H158" s="4" t="s">
        <v>221</v>
      </c>
    </row>
    <row r="159" spans="8:8" x14ac:dyDescent="0.3">
      <c r="H159" s="4" t="s">
        <v>222</v>
      </c>
    </row>
    <row r="160" spans="8:8" x14ac:dyDescent="0.3">
      <c r="H160" s="4" t="s">
        <v>223</v>
      </c>
    </row>
    <row r="161" spans="8:8" x14ac:dyDescent="0.3">
      <c r="H161" s="4" t="s">
        <v>224</v>
      </c>
    </row>
    <row r="162" spans="8:8" x14ac:dyDescent="0.3">
      <c r="H162" s="4" t="s">
        <v>225</v>
      </c>
    </row>
    <row r="163" spans="8:8" x14ac:dyDescent="0.3">
      <c r="H163" s="4" t="s">
        <v>226</v>
      </c>
    </row>
    <row r="164" spans="8:8" x14ac:dyDescent="0.3">
      <c r="H164" s="4" t="s">
        <v>227</v>
      </c>
    </row>
    <row r="165" spans="8:8" x14ac:dyDescent="0.3">
      <c r="H165" s="4" t="s">
        <v>228</v>
      </c>
    </row>
    <row r="166" spans="8:8" x14ac:dyDescent="0.3">
      <c r="H166" s="4" t="s">
        <v>229</v>
      </c>
    </row>
    <row r="167" spans="8:8" x14ac:dyDescent="0.3">
      <c r="H167" s="4" t="s">
        <v>230</v>
      </c>
    </row>
    <row r="168" spans="8:8" x14ac:dyDescent="0.3">
      <c r="H168" s="4" t="s">
        <v>231</v>
      </c>
    </row>
    <row r="169" spans="8:8" x14ac:dyDescent="0.3">
      <c r="H169" s="4" t="s">
        <v>232</v>
      </c>
    </row>
    <row r="170" spans="8:8" x14ac:dyDescent="0.3">
      <c r="H170" s="4" t="s">
        <v>233</v>
      </c>
    </row>
    <row r="171" spans="8:8" x14ac:dyDescent="0.3">
      <c r="H171" s="4" t="s">
        <v>234</v>
      </c>
    </row>
    <row r="172" spans="8:8" x14ac:dyDescent="0.3">
      <c r="H172" s="4" t="s">
        <v>235</v>
      </c>
    </row>
    <row r="173" spans="8:8" x14ac:dyDescent="0.3">
      <c r="H173" s="4" t="s">
        <v>236</v>
      </c>
    </row>
    <row r="174" spans="8:8" x14ac:dyDescent="0.3">
      <c r="H174" s="4" t="s">
        <v>237</v>
      </c>
    </row>
    <row r="175" spans="8:8" x14ac:dyDescent="0.3">
      <c r="H175" s="4" t="s">
        <v>238</v>
      </c>
    </row>
    <row r="176" spans="8:8" x14ac:dyDescent="0.3">
      <c r="H176" s="4" t="s">
        <v>239</v>
      </c>
    </row>
    <row r="177" spans="8:8" x14ac:dyDescent="0.3">
      <c r="H177" s="4" t="s">
        <v>240</v>
      </c>
    </row>
    <row r="178" spans="8:8" x14ac:dyDescent="0.3">
      <c r="H178" s="4" t="s">
        <v>241</v>
      </c>
    </row>
    <row r="179" spans="8:8" x14ac:dyDescent="0.3">
      <c r="H179" s="4" t="s">
        <v>242</v>
      </c>
    </row>
    <row r="180" spans="8:8" x14ac:dyDescent="0.3">
      <c r="H180" s="4" t="s">
        <v>243</v>
      </c>
    </row>
    <row r="181" spans="8:8" x14ac:dyDescent="0.3">
      <c r="H181" s="4" t="s">
        <v>244</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D65530:D65534 IV65530:IV65534" xr:uid="{00000000-0002-0000-0000-000000000000}">
      <formula1>$H$15:$H$181</formula1>
    </dataValidation>
    <dataValidation type="list" allowBlank="1" showInputMessage="1" showErrorMessage="1" sqref="D65529 IV65529" xr:uid="{00000000-0002-0000-0000-000001000000}">
      <formula1>$I$15:$I$17</formula1>
    </dataValidation>
    <dataValidation type="list" allowBlank="1" showInputMessage="1" showErrorMessage="1" sqref="D65537" xr:uid="{00000000-0002-0000-0000-000002000000}">
      <formula1>$O$15:$O$26</formula1>
    </dataValidation>
    <dataValidation type="list" allowBlank="1" showInputMessage="1" showErrorMessage="1" sqref="IV65536" xr:uid="{00000000-0002-0000-0000-000003000000}">
      <formula1>$K$15:$K$19</formula1>
    </dataValidation>
    <dataValidation type="list" allowBlank="1" showInputMessage="1" showErrorMessage="1" sqref="D65538" xr:uid="{00000000-0002-0000-0000-000004000000}">
      <formula1>$P$15:$P$26</formula1>
    </dataValidation>
  </dataValidations>
  <hyperlinks>
    <hyperlink ref="D38" r:id="rId1" xr:uid="{00000000-0004-0000-0000-000000000000}"/>
    <hyperlink ref="D46" r:id="rId2" xr:uid="{00000000-0004-0000-0000-000001000000}"/>
    <hyperlink ref="D54" r:id="rId3" xr:uid="{00000000-0004-0000-0000-000002000000}"/>
    <hyperlink ref="D58" r:id="rId4" xr:uid="{00000000-0004-0000-0000-000003000000}"/>
    <hyperlink ref="D50" r:id="rId5" xr:uid="{00000000-0004-0000-0000-000004000000}"/>
    <hyperlink ref="D62" r:id="rId6" xr:uid="{00000000-0004-0000-0000-000005000000}"/>
    <hyperlink ref="D42" r:id="rId7" xr:uid="{00000000-0004-0000-0000-000006000000}"/>
  </hyperlinks>
  <pageMargins left="0.7" right="0.7" top="0.75" bottom="0.75" header="0.3" footer="0.3"/>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T70"/>
  <sheetViews>
    <sheetView zoomScale="70" zoomScaleNormal="70" workbookViewId="0">
      <selection activeCell="C1" sqref="C1"/>
    </sheetView>
  </sheetViews>
  <sheetFormatPr defaultColWidth="14.7265625" defaultRowHeight="14" x14ac:dyDescent="0.3"/>
  <cols>
    <col min="1" max="1" width="3.453125" style="151" customWidth="1"/>
    <col min="2" max="2" width="2.81640625" style="151" customWidth="1"/>
    <col min="3" max="3" width="14.1796875" style="151" customWidth="1"/>
    <col min="4" max="4" width="28" style="266" customWidth="1"/>
    <col min="5" max="5" width="37.453125" style="266" customWidth="1"/>
    <col min="6" max="6" width="14.7265625" style="151"/>
    <col min="7" max="7" width="20.7265625" style="151" customWidth="1"/>
    <col min="8" max="8" width="127" style="266" customWidth="1"/>
    <col min="9" max="19" width="14.7265625" style="151"/>
    <col min="20" max="20" width="2.81640625" style="151" customWidth="1"/>
    <col min="21" max="16384" width="14.7265625" style="151"/>
  </cols>
  <sheetData>
    <row r="1" spans="2:20" ht="14.5" thickBot="1" x14ac:dyDescent="0.35"/>
    <row r="2" spans="2:20" ht="14.5" thickBot="1" x14ac:dyDescent="0.35">
      <c r="B2" s="152"/>
      <c r="C2" s="267"/>
      <c r="D2" s="267"/>
      <c r="E2" s="267"/>
      <c r="F2" s="154"/>
      <c r="G2" s="153"/>
      <c r="H2" s="267"/>
      <c r="I2" s="155"/>
      <c r="J2" s="156"/>
      <c r="K2" s="268"/>
      <c r="L2" s="153"/>
      <c r="M2" s="153"/>
      <c r="N2" s="153"/>
      <c r="O2" s="153"/>
      <c r="P2" s="153"/>
      <c r="Q2" s="153"/>
      <c r="R2" s="153"/>
      <c r="S2" s="153"/>
      <c r="T2" s="157"/>
    </row>
    <row r="3" spans="2:20" ht="14.5" thickBot="1" x14ac:dyDescent="0.35">
      <c r="B3" s="158"/>
      <c r="C3" s="1186" t="s">
        <v>999</v>
      </c>
      <c r="D3" s="1187"/>
      <c r="E3" s="1187"/>
      <c r="F3" s="1187"/>
      <c r="G3" s="1187"/>
      <c r="H3" s="1187"/>
      <c r="I3" s="1187"/>
      <c r="J3" s="1187"/>
      <c r="K3" s="1187"/>
      <c r="L3" s="1187"/>
      <c r="M3" s="1187"/>
      <c r="N3" s="1187"/>
      <c r="O3" s="1187"/>
      <c r="P3" s="1187"/>
      <c r="Q3" s="1187"/>
      <c r="R3" s="1187"/>
      <c r="S3" s="1188"/>
      <c r="T3" s="159"/>
    </row>
    <row r="4" spans="2:20" x14ac:dyDescent="0.3">
      <c r="B4" s="158"/>
      <c r="C4" s="160"/>
      <c r="D4" s="160"/>
      <c r="E4" s="269"/>
      <c r="F4" s="161"/>
      <c r="G4" s="160"/>
      <c r="H4" s="269"/>
      <c r="I4" s="162"/>
      <c r="J4" s="163"/>
      <c r="K4" s="270"/>
      <c r="L4" s="160"/>
      <c r="M4" s="160"/>
      <c r="N4" s="160"/>
      <c r="O4" s="160"/>
      <c r="P4" s="160"/>
      <c r="Q4" s="160"/>
      <c r="R4" s="160"/>
      <c r="S4" s="160"/>
      <c r="T4" s="159"/>
    </row>
    <row r="5" spans="2:20" s="166" customFormat="1" x14ac:dyDescent="0.35">
      <c r="B5" s="164"/>
      <c r="C5" s="1189" t="s">
        <v>1000</v>
      </c>
      <c r="D5" s="1189" t="s">
        <v>1001</v>
      </c>
      <c r="E5" s="1189" t="s">
        <v>1002</v>
      </c>
      <c r="F5" s="1190" t="s">
        <v>1003</v>
      </c>
      <c r="G5" s="1189" t="s">
        <v>1004</v>
      </c>
      <c r="H5" s="1189" t="s">
        <v>811</v>
      </c>
      <c r="I5" s="1189" t="s">
        <v>1005</v>
      </c>
      <c r="J5" s="1189" t="s">
        <v>1006</v>
      </c>
      <c r="K5" s="1189"/>
      <c r="L5" s="1189" t="s">
        <v>1007</v>
      </c>
      <c r="M5" s="1189"/>
      <c r="N5" s="1189"/>
      <c r="O5" s="1189"/>
      <c r="P5" s="1189"/>
      <c r="Q5" s="1189"/>
      <c r="R5" s="1189"/>
      <c r="S5" s="1189"/>
      <c r="T5" s="165"/>
    </row>
    <row r="6" spans="2:20" s="169" customFormat="1" ht="23" x14ac:dyDescent="0.35">
      <c r="B6" s="167"/>
      <c r="C6" s="1189" t="s">
        <v>1000</v>
      </c>
      <c r="D6" s="1189"/>
      <c r="E6" s="1189"/>
      <c r="F6" s="1190"/>
      <c r="G6" s="1189"/>
      <c r="H6" s="1189"/>
      <c r="I6" s="1189"/>
      <c r="J6" s="695" t="s">
        <v>1008</v>
      </c>
      <c r="K6" s="695" t="s">
        <v>1009</v>
      </c>
      <c r="L6" s="696" t="s">
        <v>1010</v>
      </c>
      <c r="M6" s="696" t="s">
        <v>1011</v>
      </c>
      <c r="N6" s="696" t="s">
        <v>1012</v>
      </c>
      <c r="O6" s="696" t="s">
        <v>1013</v>
      </c>
      <c r="P6" s="696" t="s">
        <v>1014</v>
      </c>
      <c r="Q6" s="696" t="s">
        <v>1015</v>
      </c>
      <c r="R6" s="696" t="s">
        <v>1016</v>
      </c>
      <c r="S6" s="696" t="s">
        <v>1017</v>
      </c>
      <c r="T6" s="168"/>
    </row>
    <row r="7" spans="2:20" s="169" customFormat="1" x14ac:dyDescent="0.35">
      <c r="B7" s="167"/>
      <c r="C7" s="697"/>
      <c r="D7" s="698"/>
      <c r="E7" s="698"/>
      <c r="F7" s="697"/>
      <c r="G7" s="697"/>
      <c r="H7" s="698"/>
      <c r="I7" s="697"/>
      <c r="J7" s="697"/>
      <c r="K7" s="697"/>
      <c r="L7" s="697"/>
      <c r="M7" s="697"/>
      <c r="N7" s="697"/>
      <c r="O7" s="697"/>
      <c r="P7" s="697"/>
      <c r="Q7" s="697"/>
      <c r="R7" s="697"/>
      <c r="S7" s="697"/>
      <c r="T7" s="168"/>
    </row>
    <row r="8" spans="2:20" s="166" customFormat="1" ht="56" x14ac:dyDescent="0.35">
      <c r="B8" s="164"/>
      <c r="C8" s="699" t="s">
        <v>1018</v>
      </c>
      <c r="D8" s="700" t="s">
        <v>1019</v>
      </c>
      <c r="E8" s="700" t="s">
        <v>1020</v>
      </c>
      <c r="F8" s="701">
        <v>200</v>
      </c>
      <c r="G8" s="702">
        <v>42857.35</v>
      </c>
      <c r="H8" s="703" t="s">
        <v>1021</v>
      </c>
      <c r="I8" s="704" t="s">
        <v>1022</v>
      </c>
      <c r="J8" s="705">
        <v>41776</v>
      </c>
      <c r="K8" s="705">
        <v>41775</v>
      </c>
      <c r="L8" s="697" t="s">
        <v>1023</v>
      </c>
      <c r="M8" s="697" t="s">
        <v>1023</v>
      </c>
      <c r="N8" s="697" t="s">
        <v>1023</v>
      </c>
      <c r="O8" s="697" t="s">
        <v>1023</v>
      </c>
      <c r="P8" s="697" t="s">
        <v>1023</v>
      </c>
      <c r="Q8" s="697" t="s">
        <v>1023</v>
      </c>
      <c r="R8" s="697" t="s">
        <v>1023</v>
      </c>
      <c r="S8" s="697" t="s">
        <v>1023</v>
      </c>
      <c r="T8" s="165"/>
    </row>
    <row r="9" spans="2:20" s="166" customFormat="1" ht="135" customHeight="1" x14ac:dyDescent="0.35">
      <c r="B9" s="164"/>
      <c r="C9" s="699" t="s">
        <v>1018</v>
      </c>
      <c r="D9" s="700" t="s">
        <v>1024</v>
      </c>
      <c r="E9" s="700" t="s">
        <v>1025</v>
      </c>
      <c r="F9" s="701">
        <v>276</v>
      </c>
      <c r="G9" s="702">
        <v>69156.2</v>
      </c>
      <c r="H9" s="703" t="s">
        <v>1026</v>
      </c>
      <c r="I9" s="704" t="s">
        <v>1027</v>
      </c>
      <c r="J9" s="705">
        <v>42156</v>
      </c>
      <c r="K9" s="705">
        <v>42277</v>
      </c>
      <c r="L9" s="697" t="s">
        <v>1023</v>
      </c>
      <c r="M9" s="697" t="s">
        <v>1023</v>
      </c>
      <c r="N9" s="697" t="s">
        <v>1023</v>
      </c>
      <c r="O9" s="697" t="s">
        <v>1023</v>
      </c>
      <c r="P9" s="697" t="s">
        <v>1023</v>
      </c>
      <c r="Q9" s="697" t="s">
        <v>1028</v>
      </c>
      <c r="R9" s="697" t="s">
        <v>1028</v>
      </c>
      <c r="S9" s="697" t="s">
        <v>1028</v>
      </c>
      <c r="T9" s="165"/>
    </row>
    <row r="10" spans="2:20" s="166" customFormat="1" ht="143.25" customHeight="1" x14ac:dyDescent="0.35">
      <c r="B10" s="164"/>
      <c r="C10" s="699" t="s">
        <v>1018</v>
      </c>
      <c r="D10" s="700" t="s">
        <v>1029</v>
      </c>
      <c r="E10" s="700" t="s">
        <v>1030</v>
      </c>
      <c r="F10" s="701">
        <v>950</v>
      </c>
      <c r="G10" s="702">
        <v>84637.92</v>
      </c>
      <c r="H10" s="703" t="s">
        <v>1031</v>
      </c>
      <c r="I10" s="704" t="s">
        <v>1027</v>
      </c>
      <c r="J10" s="705">
        <v>42244</v>
      </c>
      <c r="K10" s="705">
        <v>42299</v>
      </c>
      <c r="L10" s="697" t="s">
        <v>1023</v>
      </c>
      <c r="M10" s="697" t="s">
        <v>1023</v>
      </c>
      <c r="N10" s="697" t="s">
        <v>1023</v>
      </c>
      <c r="O10" s="697" t="s">
        <v>1023</v>
      </c>
      <c r="P10" s="697" t="s">
        <v>1023</v>
      </c>
      <c r="Q10" s="697" t="s">
        <v>1023</v>
      </c>
      <c r="R10" s="697" t="s">
        <v>1028</v>
      </c>
      <c r="S10" s="697" t="s">
        <v>1028</v>
      </c>
      <c r="T10" s="165"/>
    </row>
    <row r="11" spans="2:20" s="166" customFormat="1" ht="96" customHeight="1" x14ac:dyDescent="0.35">
      <c r="B11" s="164"/>
      <c r="C11" s="699" t="s">
        <v>1018</v>
      </c>
      <c r="D11" s="700" t="s">
        <v>1032</v>
      </c>
      <c r="E11" s="700" t="s">
        <v>1033</v>
      </c>
      <c r="F11" s="701">
        <v>450</v>
      </c>
      <c r="G11" s="702">
        <v>150675.81</v>
      </c>
      <c r="H11" s="703" t="s">
        <v>1034</v>
      </c>
      <c r="I11" s="704" t="s">
        <v>1027</v>
      </c>
      <c r="J11" s="705">
        <v>42461</v>
      </c>
      <c r="K11" s="705">
        <v>42552</v>
      </c>
      <c r="L11" s="697" t="s">
        <v>1023</v>
      </c>
      <c r="M11" s="697" t="s">
        <v>1023</v>
      </c>
      <c r="N11" s="697" t="s">
        <v>1023</v>
      </c>
      <c r="O11" s="697" t="s">
        <v>1023</v>
      </c>
      <c r="P11" s="697" t="s">
        <v>1023</v>
      </c>
      <c r="Q11" s="697" t="s">
        <v>1023</v>
      </c>
      <c r="R11" s="697" t="s">
        <v>1028</v>
      </c>
      <c r="S11" s="697" t="s">
        <v>1028</v>
      </c>
      <c r="T11" s="165"/>
    </row>
    <row r="12" spans="2:20" s="166" customFormat="1" ht="96.75" customHeight="1" x14ac:dyDescent="0.35">
      <c r="B12" s="164"/>
      <c r="C12" s="699" t="s">
        <v>1018</v>
      </c>
      <c r="D12" s="700" t="s">
        <v>1035</v>
      </c>
      <c r="E12" s="700" t="s">
        <v>1036</v>
      </c>
      <c r="F12" s="701">
        <v>240</v>
      </c>
      <c r="G12" s="702">
        <v>46220.25</v>
      </c>
      <c r="H12" s="703" t="s">
        <v>1037</v>
      </c>
      <c r="I12" s="704" t="s">
        <v>1022</v>
      </c>
      <c r="J12" s="705">
        <v>41821</v>
      </c>
      <c r="K12" s="705">
        <v>41834</v>
      </c>
      <c r="L12" s="697" t="s">
        <v>1023</v>
      </c>
      <c r="M12" s="697" t="s">
        <v>1023</v>
      </c>
      <c r="N12" s="697" t="s">
        <v>1023</v>
      </c>
      <c r="O12" s="697" t="s">
        <v>1023</v>
      </c>
      <c r="P12" s="697" t="s">
        <v>1023</v>
      </c>
      <c r="Q12" s="697" t="s">
        <v>1023</v>
      </c>
      <c r="R12" s="697" t="s">
        <v>1023</v>
      </c>
      <c r="S12" s="697" t="s">
        <v>1023</v>
      </c>
      <c r="T12" s="165"/>
    </row>
    <row r="13" spans="2:20" s="166" customFormat="1" ht="110.25" customHeight="1" x14ac:dyDescent="0.35">
      <c r="B13" s="164"/>
      <c r="C13" s="699" t="s">
        <v>1018</v>
      </c>
      <c r="D13" s="700" t="s">
        <v>1038</v>
      </c>
      <c r="E13" s="700" t="s">
        <v>1039</v>
      </c>
      <c r="F13" s="701">
        <v>350</v>
      </c>
      <c r="G13" s="702">
        <v>69267.199999999997</v>
      </c>
      <c r="H13" s="703" t="s">
        <v>1040</v>
      </c>
      <c r="I13" s="704" t="s">
        <v>1027</v>
      </c>
      <c r="J13" s="705">
        <v>42327</v>
      </c>
      <c r="K13" s="705">
        <v>42375</v>
      </c>
      <c r="L13" s="697" t="s">
        <v>1023</v>
      </c>
      <c r="M13" s="697" t="s">
        <v>1023</v>
      </c>
      <c r="N13" s="697" t="s">
        <v>1023</v>
      </c>
      <c r="O13" s="697" t="s">
        <v>1023</v>
      </c>
      <c r="P13" s="697" t="s">
        <v>1023</v>
      </c>
      <c r="Q13" s="697" t="s">
        <v>1023</v>
      </c>
      <c r="R13" s="697" t="s">
        <v>1023</v>
      </c>
      <c r="S13" s="697" t="s">
        <v>1028</v>
      </c>
      <c r="T13" s="165"/>
    </row>
    <row r="14" spans="2:20" s="166" customFormat="1" ht="84" x14ac:dyDescent="0.35">
      <c r="B14" s="164"/>
      <c r="C14" s="699" t="s">
        <v>1018</v>
      </c>
      <c r="D14" s="700" t="s">
        <v>1041</v>
      </c>
      <c r="E14" s="700" t="s">
        <v>1042</v>
      </c>
      <c r="F14" s="701">
        <v>80</v>
      </c>
      <c r="G14" s="702">
        <v>40638.83</v>
      </c>
      <c r="H14" s="703" t="s">
        <v>1043</v>
      </c>
      <c r="I14" s="704" t="s">
        <v>1027</v>
      </c>
      <c r="J14" s="705">
        <v>42675</v>
      </c>
      <c r="K14" s="705">
        <v>42697</v>
      </c>
      <c r="L14" s="697" t="s">
        <v>1023</v>
      </c>
      <c r="M14" s="697" t="s">
        <v>1023</v>
      </c>
      <c r="N14" s="697" t="s">
        <v>1023</v>
      </c>
      <c r="O14" s="697" t="s">
        <v>1023</v>
      </c>
      <c r="P14" s="697" t="s">
        <v>1023</v>
      </c>
      <c r="Q14" s="697" t="s">
        <v>1028</v>
      </c>
      <c r="R14" s="697" t="s">
        <v>1028</v>
      </c>
      <c r="S14" s="697" t="s">
        <v>1028</v>
      </c>
      <c r="T14" s="165"/>
    </row>
    <row r="15" spans="2:20" s="166" customFormat="1" ht="28" x14ac:dyDescent="0.35">
      <c r="B15" s="164"/>
      <c r="C15" s="699" t="s">
        <v>1018</v>
      </c>
      <c r="D15" s="700" t="s">
        <v>1044</v>
      </c>
      <c r="E15" s="700" t="s">
        <v>1045</v>
      </c>
      <c r="F15" s="701">
        <v>0</v>
      </c>
      <c r="G15" s="702">
        <v>0</v>
      </c>
      <c r="H15" s="703" t="s">
        <v>1046</v>
      </c>
      <c r="I15" s="704" t="s">
        <v>1027</v>
      </c>
      <c r="J15" s="705">
        <v>0</v>
      </c>
      <c r="K15" s="705">
        <v>0</v>
      </c>
      <c r="L15" s="698" t="s">
        <v>1045</v>
      </c>
      <c r="M15" s="698" t="s">
        <v>1045</v>
      </c>
      <c r="N15" s="698" t="s">
        <v>1045</v>
      </c>
      <c r="O15" s="698" t="s">
        <v>1045</v>
      </c>
      <c r="P15" s="698" t="s">
        <v>1045</v>
      </c>
      <c r="Q15" s="698" t="s">
        <v>1045</v>
      </c>
      <c r="R15" s="698" t="s">
        <v>1045</v>
      </c>
      <c r="S15" s="698" t="s">
        <v>1045</v>
      </c>
      <c r="T15" s="165"/>
    </row>
    <row r="16" spans="2:20" s="166" customFormat="1" ht="102.75" customHeight="1" x14ac:dyDescent="0.35">
      <c r="B16" s="164"/>
      <c r="C16" s="699" t="s">
        <v>1018</v>
      </c>
      <c r="D16" s="700" t="s">
        <v>1047</v>
      </c>
      <c r="E16" s="700" t="s">
        <v>1048</v>
      </c>
      <c r="F16" s="701">
        <v>243</v>
      </c>
      <c r="G16" s="702">
        <v>54526.879999999997</v>
      </c>
      <c r="H16" s="703" t="s">
        <v>1049</v>
      </c>
      <c r="I16" s="704" t="s">
        <v>1027</v>
      </c>
      <c r="J16" s="705">
        <v>42113</v>
      </c>
      <c r="K16" s="705">
        <v>42010</v>
      </c>
      <c r="L16" s="697" t="s">
        <v>1023</v>
      </c>
      <c r="M16" s="697" t="s">
        <v>1023</v>
      </c>
      <c r="N16" s="697" t="s">
        <v>1023</v>
      </c>
      <c r="O16" s="697" t="s">
        <v>1023</v>
      </c>
      <c r="P16" s="697" t="s">
        <v>1023</v>
      </c>
      <c r="Q16" s="697" t="s">
        <v>1023</v>
      </c>
      <c r="R16" s="697" t="s">
        <v>1028</v>
      </c>
      <c r="S16" s="697" t="s">
        <v>1028</v>
      </c>
      <c r="T16" s="165"/>
    </row>
    <row r="17" spans="2:20" s="166" customFormat="1" ht="105.75" customHeight="1" x14ac:dyDescent="0.35">
      <c r="B17" s="164"/>
      <c r="C17" s="699" t="s">
        <v>1018</v>
      </c>
      <c r="D17" s="700" t="s">
        <v>1050</v>
      </c>
      <c r="E17" s="700" t="s">
        <v>1051</v>
      </c>
      <c r="F17" s="701">
        <v>210</v>
      </c>
      <c r="G17" s="702">
        <v>43710</v>
      </c>
      <c r="H17" s="703" t="s">
        <v>1052</v>
      </c>
      <c r="I17" s="704" t="s">
        <v>1022</v>
      </c>
      <c r="J17" s="705">
        <v>41776</v>
      </c>
      <c r="K17" s="705">
        <v>41791</v>
      </c>
      <c r="L17" s="697" t="s">
        <v>1023</v>
      </c>
      <c r="M17" s="697" t="s">
        <v>1023</v>
      </c>
      <c r="N17" s="697" t="s">
        <v>1023</v>
      </c>
      <c r="O17" s="697" t="s">
        <v>1023</v>
      </c>
      <c r="P17" s="697" t="s">
        <v>1023</v>
      </c>
      <c r="Q17" s="697" t="s">
        <v>1023</v>
      </c>
      <c r="R17" s="697" t="s">
        <v>1023</v>
      </c>
      <c r="S17" s="697" t="s">
        <v>1023</v>
      </c>
      <c r="T17" s="165"/>
    </row>
    <row r="18" spans="2:20" s="166" customFormat="1" ht="91.5" customHeight="1" x14ac:dyDescent="0.35">
      <c r="B18" s="164"/>
      <c r="C18" s="699" t="s">
        <v>1018</v>
      </c>
      <c r="D18" s="700" t="s">
        <v>1053</v>
      </c>
      <c r="E18" s="700" t="s">
        <v>1054</v>
      </c>
      <c r="F18" s="701">
        <v>450</v>
      </c>
      <c r="G18" s="702">
        <v>102687.75</v>
      </c>
      <c r="H18" s="703" t="s">
        <v>1055</v>
      </c>
      <c r="I18" s="704" t="s">
        <v>1027</v>
      </c>
      <c r="J18" s="705">
        <v>42180</v>
      </c>
      <c r="K18" s="705">
        <v>42291</v>
      </c>
      <c r="L18" s="697" t="s">
        <v>1023</v>
      </c>
      <c r="M18" s="697" t="s">
        <v>1023</v>
      </c>
      <c r="N18" s="697" t="s">
        <v>1023</v>
      </c>
      <c r="O18" s="697" t="s">
        <v>1023</v>
      </c>
      <c r="P18" s="697" t="s">
        <v>1023</v>
      </c>
      <c r="Q18" s="697" t="s">
        <v>1023</v>
      </c>
      <c r="R18" s="697" t="s">
        <v>1023</v>
      </c>
      <c r="S18" s="697" t="s">
        <v>1028</v>
      </c>
      <c r="T18" s="165"/>
    </row>
    <row r="19" spans="2:20" s="166" customFormat="1" ht="84" x14ac:dyDescent="0.35">
      <c r="B19" s="164"/>
      <c r="C19" s="699" t="s">
        <v>1018</v>
      </c>
      <c r="D19" s="700" t="s">
        <v>1056</v>
      </c>
      <c r="E19" s="700" t="s">
        <v>1057</v>
      </c>
      <c r="F19" s="701">
        <v>200</v>
      </c>
      <c r="G19" s="702">
        <v>42885</v>
      </c>
      <c r="H19" s="703" t="s">
        <v>1058</v>
      </c>
      <c r="I19" s="704" t="s">
        <v>1022</v>
      </c>
      <c r="J19" s="705">
        <v>41776</v>
      </c>
      <c r="K19" s="705">
        <v>41771</v>
      </c>
      <c r="L19" s="697" t="s">
        <v>1023</v>
      </c>
      <c r="M19" s="697" t="s">
        <v>1023</v>
      </c>
      <c r="N19" s="697" t="s">
        <v>1023</v>
      </c>
      <c r="O19" s="697" t="s">
        <v>1023</v>
      </c>
      <c r="P19" s="697" t="s">
        <v>1023</v>
      </c>
      <c r="Q19" s="697" t="s">
        <v>1023</v>
      </c>
      <c r="R19" s="697" t="s">
        <v>1023</v>
      </c>
      <c r="S19" s="697" t="s">
        <v>1023</v>
      </c>
      <c r="T19" s="165"/>
    </row>
    <row r="20" spans="2:20" s="166" customFormat="1" ht="119.25" customHeight="1" x14ac:dyDescent="0.35">
      <c r="B20" s="164"/>
      <c r="C20" s="699" t="s">
        <v>1018</v>
      </c>
      <c r="D20" s="700" t="s">
        <v>1059</v>
      </c>
      <c r="E20" s="700" t="s">
        <v>1060</v>
      </c>
      <c r="F20" s="701">
        <v>1000</v>
      </c>
      <c r="G20" s="702">
        <v>67996.509999999995</v>
      </c>
      <c r="H20" s="703" t="s">
        <v>1061</v>
      </c>
      <c r="I20" s="704" t="s">
        <v>1027</v>
      </c>
      <c r="J20" s="705">
        <v>42244</v>
      </c>
      <c r="K20" s="705">
        <v>42296</v>
      </c>
      <c r="L20" s="697" t="s">
        <v>1023</v>
      </c>
      <c r="M20" s="697" t="s">
        <v>1023</v>
      </c>
      <c r="N20" s="697" t="s">
        <v>1023</v>
      </c>
      <c r="O20" s="697" t="s">
        <v>1023</v>
      </c>
      <c r="P20" s="697" t="s">
        <v>1023</v>
      </c>
      <c r="Q20" s="697" t="s">
        <v>1023</v>
      </c>
      <c r="R20" s="697" t="s">
        <v>1028</v>
      </c>
      <c r="S20" s="697" t="s">
        <v>1028</v>
      </c>
      <c r="T20" s="165"/>
    </row>
    <row r="21" spans="2:20" s="166" customFormat="1" ht="117" customHeight="1" x14ac:dyDescent="0.35">
      <c r="B21" s="164"/>
      <c r="C21" s="699" t="s">
        <v>1018</v>
      </c>
      <c r="D21" s="700" t="s">
        <v>1062</v>
      </c>
      <c r="E21" s="700" t="s">
        <v>1063</v>
      </c>
      <c r="F21" s="701">
        <v>212</v>
      </c>
      <c r="G21" s="702">
        <v>52915.94</v>
      </c>
      <c r="H21" s="703" t="s">
        <v>1064</v>
      </c>
      <c r="I21" s="704" t="s">
        <v>1027</v>
      </c>
      <c r="J21" s="705">
        <v>42262</v>
      </c>
      <c r="K21" s="705">
        <v>42324</v>
      </c>
      <c r="L21" s="697" t="s">
        <v>1023</v>
      </c>
      <c r="M21" s="697" t="s">
        <v>1023</v>
      </c>
      <c r="N21" s="697" t="s">
        <v>1023</v>
      </c>
      <c r="O21" s="697" t="s">
        <v>1023</v>
      </c>
      <c r="P21" s="697" t="s">
        <v>1023</v>
      </c>
      <c r="Q21" s="697" t="s">
        <v>1023</v>
      </c>
      <c r="R21" s="697" t="s">
        <v>1023</v>
      </c>
      <c r="S21" s="697" t="s">
        <v>1028</v>
      </c>
      <c r="T21" s="165"/>
    </row>
    <row r="22" spans="2:20" s="166" customFormat="1" ht="70" x14ac:dyDescent="0.35">
      <c r="B22" s="164"/>
      <c r="C22" s="699" t="s">
        <v>1018</v>
      </c>
      <c r="D22" s="700" t="s">
        <v>1065</v>
      </c>
      <c r="E22" s="700" t="s">
        <v>1066</v>
      </c>
      <c r="F22" s="701">
        <v>480</v>
      </c>
      <c r="G22" s="702">
        <v>44002.13</v>
      </c>
      <c r="H22" s="703" t="s">
        <v>1067</v>
      </c>
      <c r="I22" s="704" t="s">
        <v>1027</v>
      </c>
      <c r="J22" s="705">
        <v>42249</v>
      </c>
      <c r="K22" s="705">
        <v>42285</v>
      </c>
      <c r="L22" s="697" t="s">
        <v>1023</v>
      </c>
      <c r="M22" s="697" t="s">
        <v>1023</v>
      </c>
      <c r="N22" s="697" t="s">
        <v>1023</v>
      </c>
      <c r="O22" s="697" t="s">
        <v>1023</v>
      </c>
      <c r="P22" s="697" t="s">
        <v>1023</v>
      </c>
      <c r="Q22" s="697" t="s">
        <v>1023</v>
      </c>
      <c r="R22" s="697" t="s">
        <v>1028</v>
      </c>
      <c r="S22" s="697" t="s">
        <v>1028</v>
      </c>
      <c r="T22" s="165"/>
    </row>
    <row r="23" spans="2:20" s="166" customFormat="1" ht="84" x14ac:dyDescent="0.35">
      <c r="B23" s="164"/>
      <c r="C23" s="699" t="s">
        <v>1018</v>
      </c>
      <c r="D23" s="700" t="s">
        <v>1068</v>
      </c>
      <c r="E23" s="700" t="s">
        <v>1069</v>
      </c>
      <c r="F23" s="701">
        <v>230</v>
      </c>
      <c r="G23" s="702">
        <v>56375.3</v>
      </c>
      <c r="H23" s="703" t="s">
        <v>1070</v>
      </c>
      <c r="I23" s="704" t="s">
        <v>1027</v>
      </c>
      <c r="J23" s="705">
        <v>42299</v>
      </c>
      <c r="K23" s="705">
        <v>42377</v>
      </c>
      <c r="L23" s="697" t="s">
        <v>1023</v>
      </c>
      <c r="M23" s="697" t="s">
        <v>1023</v>
      </c>
      <c r="N23" s="697" t="s">
        <v>1023</v>
      </c>
      <c r="O23" s="697" t="s">
        <v>1023</v>
      </c>
      <c r="P23" s="697" t="s">
        <v>1023</v>
      </c>
      <c r="Q23" s="697" t="s">
        <v>1023</v>
      </c>
      <c r="R23" s="697" t="s">
        <v>1023</v>
      </c>
      <c r="S23" s="697" t="s">
        <v>1028</v>
      </c>
      <c r="T23" s="165"/>
    </row>
    <row r="24" spans="2:20" s="166" customFormat="1" ht="101.25" customHeight="1" x14ac:dyDescent="0.35">
      <c r="B24" s="164"/>
      <c r="C24" s="699" t="s">
        <v>1018</v>
      </c>
      <c r="D24" s="700" t="s">
        <v>1071</v>
      </c>
      <c r="E24" s="700" t="s">
        <v>1072</v>
      </c>
      <c r="F24" s="701">
        <v>60</v>
      </c>
      <c r="G24" s="702">
        <v>40711</v>
      </c>
      <c r="H24" s="703" t="s">
        <v>1073</v>
      </c>
      <c r="I24" s="704" t="s">
        <v>1027</v>
      </c>
      <c r="J24" s="705">
        <v>42675</v>
      </c>
      <c r="K24" s="705">
        <v>42697</v>
      </c>
      <c r="L24" s="697" t="s">
        <v>1023</v>
      </c>
      <c r="M24" s="697" t="s">
        <v>1023</v>
      </c>
      <c r="N24" s="697" t="s">
        <v>1023</v>
      </c>
      <c r="O24" s="697" t="s">
        <v>1023</v>
      </c>
      <c r="P24" s="697" t="s">
        <v>1028</v>
      </c>
      <c r="Q24" s="697" t="s">
        <v>1028</v>
      </c>
      <c r="R24" s="697" t="s">
        <v>1028</v>
      </c>
      <c r="S24" s="697" t="s">
        <v>1028</v>
      </c>
      <c r="T24" s="165"/>
    </row>
    <row r="25" spans="2:20" s="166" customFormat="1" ht="126.75" customHeight="1" x14ac:dyDescent="0.35">
      <c r="B25" s="164"/>
      <c r="C25" s="699" t="s">
        <v>1074</v>
      </c>
      <c r="D25" s="700" t="s">
        <v>1075</v>
      </c>
      <c r="E25" s="700" t="s">
        <v>1076</v>
      </c>
      <c r="F25" s="701">
        <v>230</v>
      </c>
      <c r="G25" s="702">
        <v>57164.51</v>
      </c>
      <c r="H25" s="703" t="s">
        <v>1077</v>
      </c>
      <c r="I25" s="704" t="s">
        <v>1027</v>
      </c>
      <c r="J25" s="705">
        <v>42180</v>
      </c>
      <c r="K25" s="705">
        <v>42284</v>
      </c>
      <c r="L25" s="697" t="s">
        <v>1023</v>
      </c>
      <c r="M25" s="697" t="s">
        <v>1023</v>
      </c>
      <c r="N25" s="697" t="s">
        <v>1023</v>
      </c>
      <c r="O25" s="697" t="s">
        <v>1023</v>
      </c>
      <c r="P25" s="697" t="s">
        <v>1023</v>
      </c>
      <c r="Q25" s="697" t="s">
        <v>1023</v>
      </c>
      <c r="R25" s="697" t="s">
        <v>1023</v>
      </c>
      <c r="S25" s="697" t="s">
        <v>1028</v>
      </c>
      <c r="T25" s="165"/>
    </row>
    <row r="26" spans="2:20" s="166" customFormat="1" ht="70" x14ac:dyDescent="0.35">
      <c r="B26" s="164"/>
      <c r="C26" s="699" t="s">
        <v>1074</v>
      </c>
      <c r="D26" s="700" t="s">
        <v>1078</v>
      </c>
      <c r="E26" s="700" t="s">
        <v>1079</v>
      </c>
      <c r="F26" s="701">
        <v>330</v>
      </c>
      <c r="G26" s="702">
        <v>68234.78</v>
      </c>
      <c r="H26" s="703" t="s">
        <v>1080</v>
      </c>
      <c r="I26" s="704" t="s">
        <v>1022</v>
      </c>
      <c r="J26" s="705">
        <v>41926</v>
      </c>
      <c r="K26" s="705">
        <v>41919</v>
      </c>
      <c r="L26" s="697" t="s">
        <v>1023</v>
      </c>
      <c r="M26" s="697" t="s">
        <v>1023</v>
      </c>
      <c r="N26" s="697" t="s">
        <v>1023</v>
      </c>
      <c r="O26" s="697" t="s">
        <v>1023</v>
      </c>
      <c r="P26" s="697" t="s">
        <v>1023</v>
      </c>
      <c r="Q26" s="697" t="s">
        <v>1023</v>
      </c>
      <c r="R26" s="697" t="s">
        <v>1023</v>
      </c>
      <c r="S26" s="697" t="s">
        <v>1023</v>
      </c>
      <c r="T26" s="165"/>
    </row>
    <row r="27" spans="2:20" s="166" customFormat="1" ht="43.5" customHeight="1" x14ac:dyDescent="0.35">
      <c r="B27" s="164"/>
      <c r="C27" s="699" t="s">
        <v>1074</v>
      </c>
      <c r="D27" s="706" t="s">
        <v>1081</v>
      </c>
      <c r="E27" s="525" t="s">
        <v>1045</v>
      </c>
      <c r="F27" s="701">
        <v>0</v>
      </c>
      <c r="G27" s="702">
        <v>0</v>
      </c>
      <c r="H27" s="707" t="s">
        <v>1082</v>
      </c>
      <c r="I27" s="704" t="s">
        <v>1027</v>
      </c>
      <c r="J27" s="705">
        <v>0</v>
      </c>
      <c r="K27" s="705">
        <v>0</v>
      </c>
      <c r="L27" s="698" t="s">
        <v>1045</v>
      </c>
      <c r="M27" s="698" t="s">
        <v>1045</v>
      </c>
      <c r="N27" s="698" t="s">
        <v>1045</v>
      </c>
      <c r="O27" s="698" t="s">
        <v>1045</v>
      </c>
      <c r="P27" s="698" t="s">
        <v>1045</v>
      </c>
      <c r="Q27" s="698" t="s">
        <v>1045</v>
      </c>
      <c r="R27" s="698" t="s">
        <v>1045</v>
      </c>
      <c r="S27" s="698" t="s">
        <v>1045</v>
      </c>
      <c r="T27" s="165"/>
    </row>
    <row r="28" spans="2:20" s="166" customFormat="1" ht="42" customHeight="1" x14ac:dyDescent="0.35">
      <c r="B28" s="164"/>
      <c r="C28" s="699" t="s">
        <v>1074</v>
      </c>
      <c r="D28" s="706" t="s">
        <v>1083</v>
      </c>
      <c r="E28" s="708" t="s">
        <v>1045</v>
      </c>
      <c r="F28" s="701">
        <v>0</v>
      </c>
      <c r="G28" s="702">
        <v>0</v>
      </c>
      <c r="H28" s="707" t="s">
        <v>1082</v>
      </c>
      <c r="I28" s="704" t="s">
        <v>1027</v>
      </c>
      <c r="J28" s="705">
        <v>0</v>
      </c>
      <c r="K28" s="705">
        <v>0</v>
      </c>
      <c r="L28" s="698" t="s">
        <v>1045</v>
      </c>
      <c r="M28" s="698" t="s">
        <v>1045</v>
      </c>
      <c r="N28" s="698" t="s">
        <v>1045</v>
      </c>
      <c r="O28" s="698" t="s">
        <v>1045</v>
      </c>
      <c r="P28" s="698" t="s">
        <v>1045</v>
      </c>
      <c r="Q28" s="698" t="s">
        <v>1045</v>
      </c>
      <c r="R28" s="698" t="s">
        <v>1045</v>
      </c>
      <c r="S28" s="698" t="s">
        <v>1045</v>
      </c>
      <c r="T28" s="165"/>
    </row>
    <row r="29" spans="2:20" s="166" customFormat="1" ht="84" x14ac:dyDescent="0.35">
      <c r="B29" s="164"/>
      <c r="C29" s="699" t="s">
        <v>1074</v>
      </c>
      <c r="D29" s="700" t="s">
        <v>1084</v>
      </c>
      <c r="E29" s="700" t="s">
        <v>1085</v>
      </c>
      <c r="F29" s="701">
        <v>355</v>
      </c>
      <c r="G29" s="702">
        <v>75649.289999999994</v>
      </c>
      <c r="H29" s="703" t="s">
        <v>1086</v>
      </c>
      <c r="I29" s="704" t="s">
        <v>1027</v>
      </c>
      <c r="J29" s="705">
        <v>42275</v>
      </c>
      <c r="K29" s="705">
        <v>42356</v>
      </c>
      <c r="L29" s="697" t="s">
        <v>1023</v>
      </c>
      <c r="M29" s="697" t="s">
        <v>1023</v>
      </c>
      <c r="N29" s="697" t="s">
        <v>1023</v>
      </c>
      <c r="O29" s="697" t="s">
        <v>1023</v>
      </c>
      <c r="P29" s="697" t="s">
        <v>1023</v>
      </c>
      <c r="Q29" s="697" t="s">
        <v>1023</v>
      </c>
      <c r="R29" s="697" t="s">
        <v>1028</v>
      </c>
      <c r="S29" s="697" t="s">
        <v>1028</v>
      </c>
      <c r="T29" s="165"/>
    </row>
    <row r="30" spans="2:20" s="166" customFormat="1" ht="56" x14ac:dyDescent="0.35">
      <c r="B30" s="164"/>
      <c r="C30" s="699" t="s">
        <v>1074</v>
      </c>
      <c r="D30" s="700" t="s">
        <v>1087</v>
      </c>
      <c r="E30" s="700" t="s">
        <v>1088</v>
      </c>
      <c r="F30" s="701">
        <v>285</v>
      </c>
      <c r="G30" s="702">
        <v>40692.69</v>
      </c>
      <c r="H30" s="703" t="s">
        <v>1089</v>
      </c>
      <c r="I30" s="704" t="s">
        <v>1027</v>
      </c>
      <c r="J30" s="705">
        <v>42675</v>
      </c>
      <c r="K30" s="705">
        <v>42697</v>
      </c>
      <c r="L30" s="697" t="s">
        <v>1023</v>
      </c>
      <c r="M30" s="697" t="s">
        <v>1023</v>
      </c>
      <c r="N30" s="697" t="s">
        <v>1023</v>
      </c>
      <c r="O30" s="697" t="s">
        <v>1023</v>
      </c>
      <c r="P30" s="697" t="s">
        <v>1023</v>
      </c>
      <c r="Q30" s="697" t="s">
        <v>1028</v>
      </c>
      <c r="R30" s="697" t="s">
        <v>1028</v>
      </c>
      <c r="S30" s="697" t="s">
        <v>1028</v>
      </c>
      <c r="T30" s="165"/>
    </row>
    <row r="31" spans="2:20" s="166" customFormat="1" ht="84" x14ac:dyDescent="0.35">
      <c r="B31" s="164"/>
      <c r="C31" s="699" t="s">
        <v>1074</v>
      </c>
      <c r="D31" s="700" t="s">
        <v>1090</v>
      </c>
      <c r="E31" s="700" t="s">
        <v>1091</v>
      </c>
      <c r="F31" s="701">
        <v>857</v>
      </c>
      <c r="G31" s="702">
        <v>30000</v>
      </c>
      <c r="H31" s="703" t="s">
        <v>1092</v>
      </c>
      <c r="I31" s="704" t="s">
        <v>1027</v>
      </c>
      <c r="J31" s="705">
        <v>42688</v>
      </c>
      <c r="K31" s="705">
        <v>42487</v>
      </c>
      <c r="L31" s="697" t="s">
        <v>1023</v>
      </c>
      <c r="M31" s="697" t="s">
        <v>1023</v>
      </c>
      <c r="N31" s="697" t="s">
        <v>1023</v>
      </c>
      <c r="O31" s="697" t="s">
        <v>1023</v>
      </c>
      <c r="P31" s="697" t="s">
        <v>1028</v>
      </c>
      <c r="Q31" s="697" t="s">
        <v>1028</v>
      </c>
      <c r="R31" s="697" t="s">
        <v>1028</v>
      </c>
      <c r="S31" s="697" t="s">
        <v>1028</v>
      </c>
      <c r="T31" s="165"/>
    </row>
    <row r="32" spans="2:20" s="166" customFormat="1" ht="70" x14ac:dyDescent="0.35">
      <c r="B32" s="164"/>
      <c r="C32" s="699" t="s">
        <v>1074</v>
      </c>
      <c r="D32" s="700" t="s">
        <v>1093</v>
      </c>
      <c r="E32" s="700" t="s">
        <v>1094</v>
      </c>
      <c r="F32" s="701">
        <v>150</v>
      </c>
      <c r="G32" s="702">
        <v>36706.93</v>
      </c>
      <c r="H32" s="703" t="s">
        <v>1095</v>
      </c>
      <c r="I32" s="704" t="s">
        <v>1027</v>
      </c>
      <c r="J32" s="705">
        <v>42572</v>
      </c>
      <c r="K32" s="705" t="e">
        <v>#REF!</v>
      </c>
      <c r="L32" s="697" t="s">
        <v>1023</v>
      </c>
      <c r="M32" s="697" t="s">
        <v>1023</v>
      </c>
      <c r="N32" s="697" t="s">
        <v>1023</v>
      </c>
      <c r="O32" s="697" t="s">
        <v>1023</v>
      </c>
      <c r="P32" s="697" t="s">
        <v>1023</v>
      </c>
      <c r="Q32" s="697" t="s">
        <v>1023</v>
      </c>
      <c r="R32" s="697" t="s">
        <v>1028</v>
      </c>
      <c r="S32" s="697" t="s">
        <v>1028</v>
      </c>
      <c r="T32" s="165"/>
    </row>
    <row r="33" spans="2:20" s="166" customFormat="1" ht="98" x14ac:dyDescent="0.35">
      <c r="B33" s="164"/>
      <c r="C33" s="699" t="s">
        <v>1074</v>
      </c>
      <c r="D33" s="700" t="s">
        <v>1096</v>
      </c>
      <c r="E33" s="700" t="s">
        <v>1097</v>
      </c>
      <c r="F33" s="701">
        <v>340</v>
      </c>
      <c r="G33" s="702">
        <v>93500</v>
      </c>
      <c r="H33" s="703" t="s">
        <v>1098</v>
      </c>
      <c r="I33" s="704" t="s">
        <v>1027</v>
      </c>
      <c r="J33" s="705">
        <v>42572</v>
      </c>
      <c r="K33" s="705">
        <v>42487</v>
      </c>
      <c r="L33" s="697" t="s">
        <v>1023</v>
      </c>
      <c r="M33" s="697" t="s">
        <v>1023</v>
      </c>
      <c r="N33" s="697" t="s">
        <v>1023</v>
      </c>
      <c r="O33" s="697" t="s">
        <v>1023</v>
      </c>
      <c r="P33" s="697" t="s">
        <v>1023</v>
      </c>
      <c r="Q33" s="697" t="s">
        <v>1023</v>
      </c>
      <c r="R33" s="697" t="s">
        <v>1028</v>
      </c>
      <c r="S33" s="697" t="s">
        <v>1028</v>
      </c>
      <c r="T33" s="165"/>
    </row>
    <row r="34" spans="2:20" s="166" customFormat="1" x14ac:dyDescent="0.35">
      <c r="B34" s="164"/>
      <c r="C34" s="699" t="s">
        <v>1074</v>
      </c>
      <c r="D34" s="700" t="s">
        <v>1099</v>
      </c>
      <c r="E34" s="709" t="s">
        <v>79</v>
      </c>
      <c r="F34" s="701">
        <v>0</v>
      </c>
      <c r="G34" s="702">
        <v>0</v>
      </c>
      <c r="H34" s="703" t="s">
        <v>1100</v>
      </c>
      <c r="I34" s="704"/>
      <c r="J34" s="705">
        <v>0</v>
      </c>
      <c r="K34" s="705">
        <v>0</v>
      </c>
      <c r="L34" s="710" t="s">
        <v>79</v>
      </c>
      <c r="M34" s="710" t="s">
        <v>79</v>
      </c>
      <c r="N34" s="710" t="s">
        <v>79</v>
      </c>
      <c r="O34" s="710" t="s">
        <v>79</v>
      </c>
      <c r="P34" s="710" t="s">
        <v>79</v>
      </c>
      <c r="Q34" s="710" t="s">
        <v>79</v>
      </c>
      <c r="R34" s="710" t="s">
        <v>79</v>
      </c>
      <c r="S34" s="710" t="s">
        <v>79</v>
      </c>
      <c r="T34" s="165"/>
    </row>
    <row r="35" spans="2:20" s="166" customFormat="1" x14ac:dyDescent="0.35">
      <c r="B35" s="164"/>
      <c r="C35" s="699" t="s">
        <v>1074</v>
      </c>
      <c r="D35" s="700" t="s">
        <v>1101</v>
      </c>
      <c r="E35" s="709" t="s">
        <v>79</v>
      </c>
      <c r="F35" s="701">
        <v>0</v>
      </c>
      <c r="G35" s="702">
        <v>0</v>
      </c>
      <c r="H35" s="703" t="s">
        <v>1100</v>
      </c>
      <c r="I35" s="704"/>
      <c r="J35" s="705">
        <v>0</v>
      </c>
      <c r="K35" s="705">
        <v>0</v>
      </c>
      <c r="L35" s="710" t="s">
        <v>79</v>
      </c>
      <c r="M35" s="710" t="s">
        <v>79</v>
      </c>
      <c r="N35" s="710" t="s">
        <v>79</v>
      </c>
      <c r="O35" s="710" t="s">
        <v>79</v>
      </c>
      <c r="P35" s="710" t="s">
        <v>79</v>
      </c>
      <c r="Q35" s="710" t="s">
        <v>79</v>
      </c>
      <c r="R35" s="710" t="s">
        <v>79</v>
      </c>
      <c r="S35" s="710" t="s">
        <v>79</v>
      </c>
      <c r="T35" s="165"/>
    </row>
    <row r="36" spans="2:20" s="166" customFormat="1" ht="126.75" customHeight="1" x14ac:dyDescent="0.35">
      <c r="B36" s="164"/>
      <c r="C36" s="699" t="s">
        <v>1102</v>
      </c>
      <c r="D36" s="700" t="s">
        <v>1103</v>
      </c>
      <c r="E36" s="700" t="s">
        <v>1104</v>
      </c>
      <c r="F36" s="701">
        <v>204</v>
      </c>
      <c r="G36" s="702">
        <v>77403.97</v>
      </c>
      <c r="H36" s="703" t="s">
        <v>1105</v>
      </c>
      <c r="I36" s="704" t="s">
        <v>1022</v>
      </c>
      <c r="J36" s="705">
        <v>41821</v>
      </c>
      <c r="K36" s="705">
        <v>41913</v>
      </c>
      <c r="L36" s="697" t="s">
        <v>1023</v>
      </c>
      <c r="M36" s="697" t="s">
        <v>1023</v>
      </c>
      <c r="N36" s="697" t="s">
        <v>1023</v>
      </c>
      <c r="O36" s="697" t="s">
        <v>1023</v>
      </c>
      <c r="P36" s="697" t="s">
        <v>1023</v>
      </c>
      <c r="Q36" s="697" t="s">
        <v>1023</v>
      </c>
      <c r="R36" s="697" t="s">
        <v>1023</v>
      </c>
      <c r="S36" s="697" t="s">
        <v>1023</v>
      </c>
      <c r="T36" s="165"/>
    </row>
    <row r="37" spans="2:20" s="166" customFormat="1" ht="114.75" customHeight="1" x14ac:dyDescent="0.35">
      <c r="B37" s="164"/>
      <c r="C37" s="699" t="s">
        <v>1102</v>
      </c>
      <c r="D37" s="700" t="s">
        <v>1106</v>
      </c>
      <c r="E37" s="700" t="s">
        <v>1107</v>
      </c>
      <c r="F37" s="701">
        <v>320</v>
      </c>
      <c r="G37" s="702">
        <v>90975.21</v>
      </c>
      <c r="H37" s="703" t="s">
        <v>1108</v>
      </c>
      <c r="I37" s="704" t="s">
        <v>1027</v>
      </c>
      <c r="J37" s="705">
        <v>42163</v>
      </c>
      <c r="K37" s="705">
        <v>42305</v>
      </c>
      <c r="L37" s="697" t="s">
        <v>1023</v>
      </c>
      <c r="M37" s="697" t="s">
        <v>1023</v>
      </c>
      <c r="N37" s="697" t="s">
        <v>1023</v>
      </c>
      <c r="O37" s="697" t="s">
        <v>1023</v>
      </c>
      <c r="P37" s="697" t="s">
        <v>1023</v>
      </c>
      <c r="Q37" s="697" t="s">
        <v>1023</v>
      </c>
      <c r="R37" s="697" t="s">
        <v>1023</v>
      </c>
      <c r="S37" s="697" t="s">
        <v>1028</v>
      </c>
      <c r="T37" s="165"/>
    </row>
    <row r="38" spans="2:20" s="166" customFormat="1" ht="107.25" customHeight="1" x14ac:dyDescent="0.35">
      <c r="B38" s="164"/>
      <c r="C38" s="699" t="s">
        <v>1102</v>
      </c>
      <c r="D38" s="700" t="s">
        <v>1109</v>
      </c>
      <c r="E38" s="700" t="s">
        <v>1110</v>
      </c>
      <c r="F38" s="701">
        <v>271</v>
      </c>
      <c r="G38" s="702">
        <v>57483.01</v>
      </c>
      <c r="H38" s="703" t="s">
        <v>1111</v>
      </c>
      <c r="I38" s="704" t="s">
        <v>1022</v>
      </c>
      <c r="J38" s="705">
        <v>41926</v>
      </c>
      <c r="K38" s="705">
        <v>41913</v>
      </c>
      <c r="L38" s="697" t="s">
        <v>1023</v>
      </c>
      <c r="M38" s="697" t="s">
        <v>1023</v>
      </c>
      <c r="N38" s="697" t="s">
        <v>1023</v>
      </c>
      <c r="O38" s="697" t="s">
        <v>1023</v>
      </c>
      <c r="P38" s="697" t="s">
        <v>1023</v>
      </c>
      <c r="Q38" s="697" t="s">
        <v>1023</v>
      </c>
      <c r="R38" s="697" t="s">
        <v>1023</v>
      </c>
      <c r="S38" s="697" t="s">
        <v>1023</v>
      </c>
      <c r="T38" s="165"/>
    </row>
    <row r="39" spans="2:20" s="166" customFormat="1" ht="92.25" customHeight="1" x14ac:dyDescent="0.35">
      <c r="B39" s="164"/>
      <c r="C39" s="699" t="s">
        <v>1102</v>
      </c>
      <c r="D39" s="700" t="s">
        <v>1112</v>
      </c>
      <c r="E39" s="700" t="s">
        <v>1113</v>
      </c>
      <c r="F39" s="701">
        <v>224</v>
      </c>
      <c r="G39" s="702">
        <v>59825.73</v>
      </c>
      <c r="H39" s="703" t="s">
        <v>1114</v>
      </c>
      <c r="I39" s="704" t="s">
        <v>1027</v>
      </c>
      <c r="J39" s="705">
        <v>42180</v>
      </c>
      <c r="K39" s="705">
        <v>42328</v>
      </c>
      <c r="L39" s="697" t="s">
        <v>1023</v>
      </c>
      <c r="M39" s="697" t="s">
        <v>1023</v>
      </c>
      <c r="N39" s="697" t="s">
        <v>1023</v>
      </c>
      <c r="O39" s="697" t="s">
        <v>1023</v>
      </c>
      <c r="P39" s="697" t="s">
        <v>1023</v>
      </c>
      <c r="Q39" s="697" t="s">
        <v>1023</v>
      </c>
      <c r="R39" s="697" t="s">
        <v>1023</v>
      </c>
      <c r="S39" s="697" t="s">
        <v>1028</v>
      </c>
      <c r="T39" s="165"/>
    </row>
    <row r="40" spans="2:20" s="166" customFormat="1" ht="117" customHeight="1" x14ac:dyDescent="0.35">
      <c r="B40" s="164"/>
      <c r="C40" s="699" t="s">
        <v>1102</v>
      </c>
      <c r="D40" s="700" t="s">
        <v>1115</v>
      </c>
      <c r="E40" s="700" t="s">
        <v>1116</v>
      </c>
      <c r="F40" s="701">
        <v>270</v>
      </c>
      <c r="G40" s="702">
        <v>61120.4</v>
      </c>
      <c r="H40" s="703" t="s">
        <v>1117</v>
      </c>
      <c r="I40" s="704" t="s">
        <v>1027</v>
      </c>
      <c r="J40" s="705">
        <v>42163</v>
      </c>
      <c r="K40" s="705">
        <v>42251</v>
      </c>
      <c r="L40" s="697" t="s">
        <v>1023</v>
      </c>
      <c r="M40" s="697" t="s">
        <v>1023</v>
      </c>
      <c r="N40" s="697" t="s">
        <v>1023</v>
      </c>
      <c r="O40" s="697" t="s">
        <v>1023</v>
      </c>
      <c r="P40" s="697" t="s">
        <v>1023</v>
      </c>
      <c r="Q40" s="697" t="s">
        <v>1023</v>
      </c>
      <c r="R40" s="697" t="s">
        <v>1028</v>
      </c>
      <c r="S40" s="697" t="s">
        <v>1028</v>
      </c>
      <c r="T40" s="165"/>
    </row>
    <row r="41" spans="2:20" s="166" customFormat="1" ht="92.25" customHeight="1" x14ac:dyDescent="0.35">
      <c r="B41" s="164"/>
      <c r="C41" s="699" t="s">
        <v>1102</v>
      </c>
      <c r="D41" s="700" t="s">
        <v>1118</v>
      </c>
      <c r="E41" s="700" t="s">
        <v>1119</v>
      </c>
      <c r="F41" s="701">
        <v>300</v>
      </c>
      <c r="G41" s="702">
        <v>76213.440000000002</v>
      </c>
      <c r="H41" s="703" t="s">
        <v>1120</v>
      </c>
      <c r="I41" s="704" t="s">
        <v>1027</v>
      </c>
      <c r="J41" s="705">
        <v>42180</v>
      </c>
      <c r="K41" s="705">
        <v>42277</v>
      </c>
      <c r="L41" s="697" t="s">
        <v>1023</v>
      </c>
      <c r="M41" s="697" t="s">
        <v>1023</v>
      </c>
      <c r="N41" s="697" t="s">
        <v>1023</v>
      </c>
      <c r="O41" s="697" t="s">
        <v>1023</v>
      </c>
      <c r="P41" s="697" t="s">
        <v>1023</v>
      </c>
      <c r="Q41" s="697" t="s">
        <v>1023</v>
      </c>
      <c r="R41" s="697" t="s">
        <v>1023</v>
      </c>
      <c r="S41" s="697" t="s">
        <v>1028</v>
      </c>
      <c r="T41" s="165"/>
    </row>
    <row r="42" spans="2:20" s="166" customFormat="1" ht="99.75" customHeight="1" x14ac:dyDescent="0.35">
      <c r="B42" s="164"/>
      <c r="C42" s="699" t="s">
        <v>1102</v>
      </c>
      <c r="D42" s="700" t="s">
        <v>1121</v>
      </c>
      <c r="E42" s="700" t="s">
        <v>1122</v>
      </c>
      <c r="F42" s="701">
        <v>315</v>
      </c>
      <c r="G42" s="702">
        <v>75066.75</v>
      </c>
      <c r="H42" s="703" t="s">
        <v>1123</v>
      </c>
      <c r="I42" s="704" t="s">
        <v>1027</v>
      </c>
      <c r="J42" s="705">
        <v>42180</v>
      </c>
      <c r="K42" s="705">
        <v>42325</v>
      </c>
      <c r="L42" s="697" t="s">
        <v>1023</v>
      </c>
      <c r="M42" s="697" t="s">
        <v>1023</v>
      </c>
      <c r="N42" s="697" t="s">
        <v>1023</v>
      </c>
      <c r="O42" s="697" t="s">
        <v>1023</v>
      </c>
      <c r="P42" s="697" t="s">
        <v>1023</v>
      </c>
      <c r="Q42" s="697" t="s">
        <v>1023</v>
      </c>
      <c r="R42" s="697" t="s">
        <v>1028</v>
      </c>
      <c r="S42" s="697" t="s">
        <v>1028</v>
      </c>
      <c r="T42" s="165"/>
    </row>
    <row r="43" spans="2:20" s="166" customFormat="1" ht="70" x14ac:dyDescent="0.35">
      <c r="B43" s="164"/>
      <c r="C43" s="699" t="s">
        <v>1102</v>
      </c>
      <c r="D43" s="700" t="s">
        <v>1124</v>
      </c>
      <c r="E43" s="700" t="s">
        <v>1125</v>
      </c>
      <c r="F43" s="701">
        <v>250</v>
      </c>
      <c r="G43" s="702">
        <v>121344.82</v>
      </c>
      <c r="H43" s="703" t="s">
        <v>1126</v>
      </c>
      <c r="I43" s="704" t="s">
        <v>1027</v>
      </c>
      <c r="J43" s="705">
        <v>42180</v>
      </c>
      <c r="K43" s="705">
        <v>42276</v>
      </c>
      <c r="L43" s="697" t="s">
        <v>1023</v>
      </c>
      <c r="M43" s="697" t="s">
        <v>1023</v>
      </c>
      <c r="N43" s="697" t="s">
        <v>1023</v>
      </c>
      <c r="O43" s="697" t="s">
        <v>1023</v>
      </c>
      <c r="P43" s="697" t="s">
        <v>1023</v>
      </c>
      <c r="Q43" s="697" t="s">
        <v>1023</v>
      </c>
      <c r="R43" s="697" t="s">
        <v>1028</v>
      </c>
      <c r="S43" s="697" t="s">
        <v>1028</v>
      </c>
      <c r="T43" s="165"/>
    </row>
    <row r="44" spans="2:20" s="166" customFormat="1" ht="102.75" customHeight="1" x14ac:dyDescent="0.35">
      <c r="B44" s="164"/>
      <c r="C44" s="699" t="s">
        <v>1102</v>
      </c>
      <c r="D44" s="700" t="s">
        <v>1127</v>
      </c>
      <c r="E44" s="700" t="s">
        <v>1128</v>
      </c>
      <c r="F44" s="701">
        <v>205</v>
      </c>
      <c r="G44" s="702">
        <v>56535.96</v>
      </c>
      <c r="H44" s="703" t="s">
        <v>1129</v>
      </c>
      <c r="I44" s="704" t="s">
        <v>1027</v>
      </c>
      <c r="J44" s="705">
        <v>42180</v>
      </c>
      <c r="K44" s="705">
        <v>42269</v>
      </c>
      <c r="L44" s="697" t="s">
        <v>1023</v>
      </c>
      <c r="M44" s="697" t="s">
        <v>1023</v>
      </c>
      <c r="N44" s="697" t="s">
        <v>1023</v>
      </c>
      <c r="O44" s="697" t="s">
        <v>1023</v>
      </c>
      <c r="P44" s="697" t="s">
        <v>1023</v>
      </c>
      <c r="Q44" s="697" t="s">
        <v>1023</v>
      </c>
      <c r="R44" s="697" t="s">
        <v>1023</v>
      </c>
      <c r="S44" s="697" t="s">
        <v>1028</v>
      </c>
      <c r="T44" s="165"/>
    </row>
    <row r="45" spans="2:20" s="166" customFormat="1" ht="86.25" customHeight="1" x14ac:dyDescent="0.35">
      <c r="B45" s="164"/>
      <c r="C45" s="699" t="s">
        <v>1102</v>
      </c>
      <c r="D45" s="700" t="s">
        <v>1130</v>
      </c>
      <c r="E45" s="700" t="s">
        <v>1131</v>
      </c>
      <c r="F45" s="701">
        <v>400</v>
      </c>
      <c r="G45" s="702">
        <v>80577.23</v>
      </c>
      <c r="H45" s="711" t="s">
        <v>1132</v>
      </c>
      <c r="I45" s="704" t="s">
        <v>1027</v>
      </c>
      <c r="J45" s="705">
        <v>42513</v>
      </c>
      <c r="K45" s="705">
        <v>42593</v>
      </c>
      <c r="L45" s="697" t="s">
        <v>1023</v>
      </c>
      <c r="M45" s="697" t="s">
        <v>1023</v>
      </c>
      <c r="N45" s="697" t="s">
        <v>1023</v>
      </c>
      <c r="O45" s="697" t="s">
        <v>1023</v>
      </c>
      <c r="P45" s="697" t="s">
        <v>1023</v>
      </c>
      <c r="Q45" s="697" t="s">
        <v>1023</v>
      </c>
      <c r="R45" s="697" t="s">
        <v>1028</v>
      </c>
      <c r="S45" s="697" t="s">
        <v>1028</v>
      </c>
      <c r="T45" s="165"/>
    </row>
    <row r="46" spans="2:20" s="166" customFormat="1" ht="91.5" customHeight="1" x14ac:dyDescent="0.35">
      <c r="B46" s="164"/>
      <c r="C46" s="699" t="s">
        <v>1102</v>
      </c>
      <c r="D46" s="700" t="s">
        <v>1133</v>
      </c>
      <c r="E46" s="700" t="s">
        <v>1134</v>
      </c>
      <c r="F46" s="701">
        <v>300</v>
      </c>
      <c r="G46" s="702">
        <v>75474.94</v>
      </c>
      <c r="H46" s="703" t="s">
        <v>1135</v>
      </c>
      <c r="I46" s="704" t="s">
        <v>1027</v>
      </c>
      <c r="J46" s="705">
        <v>42513</v>
      </c>
      <c r="K46" s="705">
        <v>42598</v>
      </c>
      <c r="L46" s="697" t="s">
        <v>1023</v>
      </c>
      <c r="M46" s="697" t="s">
        <v>1023</v>
      </c>
      <c r="N46" s="697" t="s">
        <v>1023</v>
      </c>
      <c r="O46" s="697" t="s">
        <v>1023</v>
      </c>
      <c r="P46" s="697" t="s">
        <v>1023</v>
      </c>
      <c r="Q46" s="697" t="s">
        <v>1023</v>
      </c>
      <c r="R46" s="697" t="s">
        <v>1028</v>
      </c>
      <c r="S46" s="697" t="s">
        <v>1028</v>
      </c>
      <c r="T46" s="165"/>
    </row>
    <row r="47" spans="2:20" s="166" customFormat="1" ht="49.5" customHeight="1" x14ac:dyDescent="0.35">
      <c r="B47" s="164"/>
      <c r="C47" s="704"/>
      <c r="D47" s="712"/>
      <c r="E47" s="713" t="s">
        <v>1136</v>
      </c>
      <c r="F47" s="697">
        <f>SUM(F8:F46)</f>
        <v>11237</v>
      </c>
      <c r="G47" s="714">
        <f>SUM(G8:G46)</f>
        <v>2243233.7299999995</v>
      </c>
      <c r="H47" s="703"/>
      <c r="I47" s="704"/>
      <c r="J47" s="705"/>
      <c r="K47" s="705"/>
      <c r="L47" s="697"/>
      <c r="M47" s="697"/>
      <c r="N47" s="697"/>
      <c r="O47" s="697"/>
      <c r="P47" s="697"/>
      <c r="Q47" s="697"/>
      <c r="R47" s="697"/>
      <c r="S47" s="697"/>
      <c r="T47" s="165"/>
    </row>
    <row r="48" spans="2:20" s="172" customFormat="1" ht="70" x14ac:dyDescent="0.35">
      <c r="B48" s="170"/>
      <c r="C48" s="699" t="s">
        <v>1137</v>
      </c>
      <c r="D48" s="700" t="s">
        <v>1138</v>
      </c>
      <c r="E48" s="700" t="s">
        <v>1139</v>
      </c>
      <c r="F48" s="701">
        <v>294</v>
      </c>
      <c r="G48" s="702">
        <v>57525.81</v>
      </c>
      <c r="H48" s="703" t="s">
        <v>1140</v>
      </c>
      <c r="I48" s="704" t="s">
        <v>1141</v>
      </c>
      <c r="J48" s="705">
        <v>42010</v>
      </c>
      <c r="K48" s="705">
        <v>42062</v>
      </c>
      <c r="L48" s="697" t="s">
        <v>1023</v>
      </c>
      <c r="M48" s="697" t="s">
        <v>1023</v>
      </c>
      <c r="N48" s="697" t="s">
        <v>1023</v>
      </c>
      <c r="O48" s="697" t="s">
        <v>1023</v>
      </c>
      <c r="P48" s="697" t="s">
        <v>1023</v>
      </c>
      <c r="Q48" s="697" t="s">
        <v>1023</v>
      </c>
      <c r="R48" s="697" t="s">
        <v>1023</v>
      </c>
      <c r="S48" s="697" t="s">
        <v>1028</v>
      </c>
      <c r="T48" s="171"/>
    </row>
    <row r="49" spans="2:20" s="166" customFormat="1" ht="98" x14ac:dyDescent="0.35">
      <c r="B49" s="164"/>
      <c r="C49" s="699" t="s">
        <v>1137</v>
      </c>
      <c r="D49" s="700" t="s">
        <v>1142</v>
      </c>
      <c r="E49" s="700" t="s">
        <v>1143</v>
      </c>
      <c r="F49" s="701">
        <v>104</v>
      </c>
      <c r="G49" s="702">
        <v>56754.66</v>
      </c>
      <c r="H49" s="703" t="s">
        <v>1144</v>
      </c>
      <c r="I49" s="704" t="s">
        <v>1141</v>
      </c>
      <c r="J49" s="705">
        <v>42059</v>
      </c>
      <c r="K49" s="705">
        <v>42144</v>
      </c>
      <c r="L49" s="697" t="s">
        <v>1023</v>
      </c>
      <c r="M49" s="697" t="s">
        <v>1023</v>
      </c>
      <c r="N49" s="697" t="s">
        <v>1023</v>
      </c>
      <c r="O49" s="697" t="s">
        <v>1023</v>
      </c>
      <c r="P49" s="697" t="s">
        <v>1023</v>
      </c>
      <c r="Q49" s="697" t="s">
        <v>1023</v>
      </c>
      <c r="R49" s="697" t="s">
        <v>1023</v>
      </c>
      <c r="S49" s="697" t="s">
        <v>1028</v>
      </c>
      <c r="T49" s="165"/>
    </row>
    <row r="50" spans="2:20" s="166" customFormat="1" ht="95.25" customHeight="1" x14ac:dyDescent="0.35">
      <c r="B50" s="164"/>
      <c r="C50" s="699" t="s">
        <v>1137</v>
      </c>
      <c r="D50" s="700" t="s">
        <v>1145</v>
      </c>
      <c r="E50" s="700" t="s">
        <v>1146</v>
      </c>
      <c r="F50" s="701">
        <v>127</v>
      </c>
      <c r="G50" s="702">
        <v>64495</v>
      </c>
      <c r="H50" s="703" t="s">
        <v>1147</v>
      </c>
      <c r="I50" s="704" t="s">
        <v>1141</v>
      </c>
      <c r="J50" s="705">
        <v>42465</v>
      </c>
      <c r="K50" s="705">
        <v>42462</v>
      </c>
      <c r="L50" s="697" t="s">
        <v>1023</v>
      </c>
      <c r="M50" s="697" t="s">
        <v>1023</v>
      </c>
      <c r="N50" s="697" t="s">
        <v>1023</v>
      </c>
      <c r="O50" s="697" t="s">
        <v>1023</v>
      </c>
      <c r="P50" s="697" t="s">
        <v>1023</v>
      </c>
      <c r="Q50" s="697" t="s">
        <v>1023</v>
      </c>
      <c r="R50" s="697" t="s">
        <v>1023</v>
      </c>
      <c r="S50" s="697" t="s">
        <v>1028</v>
      </c>
      <c r="T50" s="165"/>
    </row>
    <row r="51" spans="2:20" s="166" customFormat="1" ht="92.25" customHeight="1" x14ac:dyDescent="0.35">
      <c r="B51" s="164"/>
      <c r="C51" s="699" t="s">
        <v>1137</v>
      </c>
      <c r="D51" s="700" t="s">
        <v>1148</v>
      </c>
      <c r="E51" s="700" t="s">
        <v>1149</v>
      </c>
      <c r="F51" s="701">
        <v>81</v>
      </c>
      <c r="G51" s="702">
        <v>55559.72</v>
      </c>
      <c r="H51" s="703" t="s">
        <v>1150</v>
      </c>
      <c r="I51" s="704" t="s">
        <v>1141</v>
      </c>
      <c r="J51" s="705">
        <v>42118</v>
      </c>
      <c r="K51" s="705">
        <v>42144</v>
      </c>
      <c r="L51" s="697" t="s">
        <v>1023</v>
      </c>
      <c r="M51" s="697" t="s">
        <v>1023</v>
      </c>
      <c r="N51" s="697" t="s">
        <v>1023</v>
      </c>
      <c r="O51" s="697" t="s">
        <v>1023</v>
      </c>
      <c r="P51" s="697" t="s">
        <v>1023</v>
      </c>
      <c r="Q51" s="697" t="s">
        <v>1023</v>
      </c>
      <c r="R51" s="697" t="s">
        <v>1023</v>
      </c>
      <c r="S51" s="697" t="s">
        <v>1028</v>
      </c>
      <c r="T51" s="165"/>
    </row>
    <row r="52" spans="2:20" s="166" customFormat="1" ht="84" x14ac:dyDescent="0.35">
      <c r="B52" s="164"/>
      <c r="C52" s="699" t="s">
        <v>1137</v>
      </c>
      <c r="D52" s="700" t="s">
        <v>1151</v>
      </c>
      <c r="E52" s="700" t="s">
        <v>1152</v>
      </c>
      <c r="F52" s="701">
        <v>94</v>
      </c>
      <c r="G52" s="702">
        <v>58893.8</v>
      </c>
      <c r="H52" s="703" t="s">
        <v>1153</v>
      </c>
      <c r="I52" s="704" t="s">
        <v>1141</v>
      </c>
      <c r="J52" s="705">
        <v>42213</v>
      </c>
      <c r="K52" s="705">
        <v>42292</v>
      </c>
      <c r="L52" s="697" t="s">
        <v>1023</v>
      </c>
      <c r="M52" s="697" t="s">
        <v>1023</v>
      </c>
      <c r="N52" s="697" t="s">
        <v>1023</v>
      </c>
      <c r="O52" s="697" t="s">
        <v>1023</v>
      </c>
      <c r="P52" s="697" t="s">
        <v>1023</v>
      </c>
      <c r="Q52" s="697" t="s">
        <v>1023</v>
      </c>
      <c r="R52" s="697" t="s">
        <v>1023</v>
      </c>
      <c r="S52" s="697" t="s">
        <v>1028</v>
      </c>
      <c r="T52" s="165"/>
    </row>
    <row r="53" spans="2:20" s="166" customFormat="1" ht="84" x14ac:dyDescent="0.35">
      <c r="B53" s="164"/>
      <c r="C53" s="699" t="s">
        <v>1137</v>
      </c>
      <c r="D53" s="700" t="s">
        <v>1154</v>
      </c>
      <c r="E53" s="700" t="s">
        <v>1155</v>
      </c>
      <c r="F53" s="701">
        <v>106</v>
      </c>
      <c r="G53" s="702">
        <v>55959.63</v>
      </c>
      <c r="H53" s="703" t="s">
        <v>1156</v>
      </c>
      <c r="I53" s="704" t="s">
        <v>1141</v>
      </c>
      <c r="J53" s="705">
        <v>42080</v>
      </c>
      <c r="K53" s="705">
        <v>42008</v>
      </c>
      <c r="L53" s="697" t="s">
        <v>1023</v>
      </c>
      <c r="M53" s="697" t="s">
        <v>1023</v>
      </c>
      <c r="N53" s="697" t="s">
        <v>1023</v>
      </c>
      <c r="O53" s="697" t="s">
        <v>1023</v>
      </c>
      <c r="P53" s="697" t="s">
        <v>1023</v>
      </c>
      <c r="Q53" s="697" t="s">
        <v>1023</v>
      </c>
      <c r="R53" s="697" t="s">
        <v>1023</v>
      </c>
      <c r="S53" s="697" t="s">
        <v>1028</v>
      </c>
      <c r="T53" s="165"/>
    </row>
    <row r="54" spans="2:20" s="166" customFormat="1" ht="47.25" customHeight="1" x14ac:dyDescent="0.35">
      <c r="B54" s="164"/>
      <c r="C54" s="699" t="s">
        <v>1137</v>
      </c>
      <c r="D54" s="700" t="s">
        <v>1157</v>
      </c>
      <c r="E54" s="700" t="s">
        <v>1045</v>
      </c>
      <c r="F54" s="701">
        <v>0</v>
      </c>
      <c r="G54" s="702">
        <v>0</v>
      </c>
      <c r="H54" s="703" t="s">
        <v>1158</v>
      </c>
      <c r="I54" s="704" t="s">
        <v>1141</v>
      </c>
      <c r="J54" s="705">
        <v>0</v>
      </c>
      <c r="K54" s="705">
        <v>0</v>
      </c>
      <c r="L54" s="697" t="s">
        <v>1023</v>
      </c>
      <c r="M54" s="697" t="s">
        <v>1028</v>
      </c>
      <c r="N54" s="697" t="s">
        <v>1028</v>
      </c>
      <c r="O54" s="697" t="s">
        <v>1028</v>
      </c>
      <c r="P54" s="697" t="s">
        <v>1028</v>
      </c>
      <c r="Q54" s="697" t="s">
        <v>1028</v>
      </c>
      <c r="R54" s="697" t="s">
        <v>1028</v>
      </c>
      <c r="S54" s="697" t="s">
        <v>1028</v>
      </c>
      <c r="T54" s="165"/>
    </row>
    <row r="55" spans="2:20" s="166" customFormat="1" ht="70" x14ac:dyDescent="0.35">
      <c r="B55" s="164"/>
      <c r="C55" s="699" t="s">
        <v>1137</v>
      </c>
      <c r="D55" s="700" t="s">
        <v>1159</v>
      </c>
      <c r="E55" s="700" t="s">
        <v>1160</v>
      </c>
      <c r="F55" s="701">
        <v>102</v>
      </c>
      <c r="G55" s="702">
        <v>56566.89</v>
      </c>
      <c r="H55" s="703" t="s">
        <v>1161</v>
      </c>
      <c r="I55" s="704" t="s">
        <v>1141</v>
      </c>
      <c r="J55" s="705">
        <v>42359</v>
      </c>
      <c r="K55" s="705">
        <v>42008</v>
      </c>
      <c r="L55" s="697" t="s">
        <v>1023</v>
      </c>
      <c r="M55" s="697" t="s">
        <v>1023</v>
      </c>
      <c r="N55" s="697" t="s">
        <v>1023</v>
      </c>
      <c r="O55" s="697" t="s">
        <v>1023</v>
      </c>
      <c r="P55" s="697" t="s">
        <v>1023</v>
      </c>
      <c r="Q55" s="697" t="s">
        <v>1023</v>
      </c>
      <c r="R55" s="697" t="s">
        <v>1023</v>
      </c>
      <c r="S55" s="697" t="s">
        <v>1028</v>
      </c>
      <c r="T55" s="165"/>
    </row>
    <row r="56" spans="2:20" s="166" customFormat="1" ht="70" x14ac:dyDescent="0.35">
      <c r="B56" s="164"/>
      <c r="C56" s="699" t="s">
        <v>1137</v>
      </c>
      <c r="D56" s="700" t="s">
        <v>1162</v>
      </c>
      <c r="E56" s="700" t="s">
        <v>1163</v>
      </c>
      <c r="F56" s="701">
        <v>206</v>
      </c>
      <c r="G56" s="702">
        <v>54951</v>
      </c>
      <c r="H56" s="703" t="s">
        <v>1164</v>
      </c>
      <c r="I56" s="704" t="s">
        <v>1141</v>
      </c>
      <c r="J56" s="705">
        <v>42012</v>
      </c>
      <c r="K56" s="705">
        <v>42062</v>
      </c>
      <c r="L56" s="697" t="s">
        <v>1023</v>
      </c>
      <c r="M56" s="697" t="s">
        <v>1023</v>
      </c>
      <c r="N56" s="697" t="s">
        <v>1023</v>
      </c>
      <c r="O56" s="697" t="s">
        <v>1023</v>
      </c>
      <c r="P56" s="697" t="s">
        <v>1023</v>
      </c>
      <c r="Q56" s="697" t="s">
        <v>1023</v>
      </c>
      <c r="R56" s="697" t="s">
        <v>1023</v>
      </c>
      <c r="S56" s="697" t="s">
        <v>1028</v>
      </c>
      <c r="T56" s="165"/>
    </row>
    <row r="57" spans="2:20" s="166" customFormat="1" ht="70" x14ac:dyDescent="0.35">
      <c r="B57" s="164"/>
      <c r="C57" s="699" t="s">
        <v>1137</v>
      </c>
      <c r="D57" s="700" t="s">
        <v>1165</v>
      </c>
      <c r="E57" s="700" t="s">
        <v>1166</v>
      </c>
      <c r="F57" s="701">
        <v>298</v>
      </c>
      <c r="G57" s="702">
        <v>51958</v>
      </c>
      <c r="H57" s="703" t="s">
        <v>1167</v>
      </c>
      <c r="I57" s="704" t="s">
        <v>1141</v>
      </c>
      <c r="J57" s="705">
        <v>41968</v>
      </c>
      <c r="K57" s="705">
        <v>42062</v>
      </c>
      <c r="L57" s="697" t="s">
        <v>1023</v>
      </c>
      <c r="M57" s="697" t="s">
        <v>1023</v>
      </c>
      <c r="N57" s="697" t="s">
        <v>1023</v>
      </c>
      <c r="O57" s="697" t="s">
        <v>1023</v>
      </c>
      <c r="P57" s="697" t="s">
        <v>1023</v>
      </c>
      <c r="Q57" s="697" t="s">
        <v>1023</v>
      </c>
      <c r="R57" s="697" t="s">
        <v>1023</v>
      </c>
      <c r="S57" s="697" t="s">
        <v>1028</v>
      </c>
      <c r="T57" s="165"/>
    </row>
    <row r="58" spans="2:20" s="166" customFormat="1" ht="70" x14ac:dyDescent="0.35">
      <c r="B58" s="164"/>
      <c r="C58" s="699" t="s">
        <v>1137</v>
      </c>
      <c r="D58" s="700" t="s">
        <v>1168</v>
      </c>
      <c r="E58" s="700" t="s">
        <v>1169</v>
      </c>
      <c r="F58" s="701">
        <v>44</v>
      </c>
      <c r="G58" s="702">
        <v>48402.94</v>
      </c>
      <c r="H58" s="703" t="s">
        <v>1170</v>
      </c>
      <c r="I58" s="704" t="s">
        <v>1141</v>
      </c>
      <c r="J58" s="705">
        <v>42080</v>
      </c>
      <c r="K58" s="705">
        <v>42144</v>
      </c>
      <c r="L58" s="697" t="s">
        <v>1023</v>
      </c>
      <c r="M58" s="697" t="s">
        <v>1023</v>
      </c>
      <c r="N58" s="697" t="s">
        <v>1023</v>
      </c>
      <c r="O58" s="697" t="s">
        <v>1023</v>
      </c>
      <c r="P58" s="697" t="s">
        <v>1023</v>
      </c>
      <c r="Q58" s="697" t="s">
        <v>1023</v>
      </c>
      <c r="R58" s="697" t="s">
        <v>1023</v>
      </c>
      <c r="S58" s="697" t="s">
        <v>1028</v>
      </c>
      <c r="T58" s="165"/>
    </row>
    <row r="59" spans="2:20" s="166" customFormat="1" ht="64.5" customHeight="1" x14ac:dyDescent="0.35">
      <c r="B59" s="164"/>
      <c r="C59" s="699" t="s">
        <v>1137</v>
      </c>
      <c r="D59" s="700" t="s">
        <v>1171</v>
      </c>
      <c r="E59" s="700" t="s">
        <v>1045</v>
      </c>
      <c r="F59" s="701">
        <v>0</v>
      </c>
      <c r="G59" s="702">
        <v>0</v>
      </c>
      <c r="H59" s="703" t="s">
        <v>1172</v>
      </c>
      <c r="I59" s="704" t="s">
        <v>1141</v>
      </c>
      <c r="J59" s="705">
        <v>0</v>
      </c>
      <c r="K59" s="705">
        <v>0</v>
      </c>
      <c r="L59" s="697" t="s">
        <v>1023</v>
      </c>
      <c r="M59" s="697" t="s">
        <v>1028</v>
      </c>
      <c r="N59" s="697" t="s">
        <v>1028</v>
      </c>
      <c r="O59" s="697" t="s">
        <v>1028</v>
      </c>
      <c r="P59" s="697" t="s">
        <v>1028</v>
      </c>
      <c r="Q59" s="697" t="s">
        <v>1028</v>
      </c>
      <c r="R59" s="697" t="s">
        <v>1028</v>
      </c>
      <c r="S59" s="697" t="s">
        <v>1028</v>
      </c>
      <c r="T59" s="165"/>
    </row>
    <row r="60" spans="2:20" s="166" customFormat="1" ht="64.5" customHeight="1" x14ac:dyDescent="0.35">
      <c r="B60" s="164"/>
      <c r="C60" s="699" t="s">
        <v>1137</v>
      </c>
      <c r="D60" s="700" t="s">
        <v>1173</v>
      </c>
      <c r="E60" s="700" t="s">
        <v>1045</v>
      </c>
      <c r="F60" s="701">
        <v>0</v>
      </c>
      <c r="G60" s="702">
        <v>0</v>
      </c>
      <c r="H60" s="703" t="s">
        <v>1172</v>
      </c>
      <c r="I60" s="704" t="s">
        <v>1141</v>
      </c>
      <c r="J60" s="705">
        <v>0</v>
      </c>
      <c r="K60" s="705">
        <v>0</v>
      </c>
      <c r="L60" s="697" t="s">
        <v>1023</v>
      </c>
      <c r="M60" s="697" t="s">
        <v>1028</v>
      </c>
      <c r="N60" s="697" t="s">
        <v>1028</v>
      </c>
      <c r="O60" s="697" t="s">
        <v>1028</v>
      </c>
      <c r="P60" s="697" t="s">
        <v>1028</v>
      </c>
      <c r="Q60" s="697" t="s">
        <v>1028</v>
      </c>
      <c r="R60" s="697" t="s">
        <v>1028</v>
      </c>
      <c r="S60" s="697" t="s">
        <v>1028</v>
      </c>
      <c r="T60" s="165"/>
    </row>
    <row r="61" spans="2:20" s="166" customFormat="1" x14ac:dyDescent="0.35">
      <c r="B61" s="164"/>
      <c r="D61" s="271"/>
      <c r="E61" s="271"/>
      <c r="G61" s="272"/>
      <c r="H61" s="271"/>
      <c r="J61" s="273"/>
      <c r="K61" s="705"/>
      <c r="T61" s="165"/>
    </row>
    <row r="62" spans="2:20" s="166" customFormat="1" x14ac:dyDescent="0.35">
      <c r="B62" s="164"/>
      <c r="D62" s="271"/>
      <c r="E62" s="274" t="s">
        <v>1174</v>
      </c>
      <c r="F62" s="166">
        <f>SUM(F48:F61)</f>
        <v>1456</v>
      </c>
      <c r="G62" s="272">
        <f>SUM(G48:G61)</f>
        <v>561067.44999999995</v>
      </c>
      <c r="H62" s="271"/>
      <c r="J62" s="273"/>
      <c r="K62" s="275"/>
      <c r="T62" s="165"/>
    </row>
    <row r="63" spans="2:20" s="166" customFormat="1" x14ac:dyDescent="0.35">
      <c r="B63" s="164"/>
      <c r="D63" s="271"/>
      <c r="E63" s="276" t="s">
        <v>1175</v>
      </c>
      <c r="F63" s="169">
        <f>+F47+F62</f>
        <v>12693</v>
      </c>
      <c r="G63" s="277">
        <f>+G47+G62</f>
        <v>2804301.1799999997</v>
      </c>
      <c r="H63" s="271"/>
      <c r="J63" s="273"/>
      <c r="K63" s="275"/>
      <c r="T63" s="165"/>
    </row>
    <row r="64" spans="2:20" s="166" customFormat="1" ht="14.5" thickBot="1" x14ac:dyDescent="0.4">
      <c r="B64" s="278"/>
      <c r="C64" s="279"/>
      <c r="D64" s="280"/>
      <c r="E64" s="280"/>
      <c r="F64" s="279"/>
      <c r="G64" s="281"/>
      <c r="H64" s="280"/>
      <c r="I64" s="279"/>
      <c r="J64" s="282"/>
      <c r="K64" s="279"/>
      <c r="L64" s="279"/>
      <c r="M64" s="279"/>
      <c r="N64" s="279"/>
      <c r="O64" s="279"/>
      <c r="P64" s="279"/>
      <c r="Q64" s="279"/>
      <c r="R64" s="279"/>
      <c r="S64" s="279"/>
      <c r="T64" s="283"/>
    </row>
    <row r="65" spans="1:20" s="172" customFormat="1" ht="15.5" x14ac:dyDescent="0.3">
      <c r="C65" s="174" t="s">
        <v>1176</v>
      </c>
      <c r="D65" s="271"/>
      <c r="E65" s="271"/>
      <c r="F65" s="166"/>
      <c r="G65" s="272"/>
      <c r="H65" s="271"/>
      <c r="I65" s="166"/>
      <c r="J65" s="273"/>
    </row>
    <row r="66" spans="1:20" s="172" customFormat="1" ht="15.5" x14ac:dyDescent="0.3">
      <c r="D66" s="284"/>
      <c r="E66" s="284"/>
      <c r="H66" s="285"/>
      <c r="I66" s="1184" t="s">
        <v>1177</v>
      </c>
      <c r="J66" s="1185"/>
    </row>
    <row r="67" spans="1:20" x14ac:dyDescent="0.3">
      <c r="A67" s="173"/>
      <c r="B67" s="173"/>
      <c r="C67" s="173"/>
      <c r="D67" s="286"/>
      <c r="H67" s="287"/>
      <c r="I67" s="715" t="s">
        <v>1178</v>
      </c>
      <c r="J67" s="716">
        <v>34</v>
      </c>
    </row>
    <row r="68" spans="1:20" x14ac:dyDescent="0.3">
      <c r="A68" s="173"/>
      <c r="C68" s="173"/>
      <c r="D68" s="286"/>
      <c r="H68" s="287"/>
      <c r="I68" s="715" t="s">
        <v>1179</v>
      </c>
      <c r="J68" s="716">
        <v>10</v>
      </c>
      <c r="T68" s="173"/>
    </row>
    <row r="69" spans="1:20" x14ac:dyDescent="0.3">
      <c r="A69" s="173"/>
      <c r="C69" s="173"/>
      <c r="D69" s="286"/>
      <c r="I69" s="717" t="s">
        <v>314</v>
      </c>
      <c r="J69" s="717">
        <f>SUM(J67:J68)</f>
        <v>44</v>
      </c>
      <c r="T69" s="173"/>
    </row>
    <row r="70" spans="1:20" s="175" customFormat="1" x14ac:dyDescent="0.3">
      <c r="D70" s="288"/>
      <c r="E70" s="288"/>
      <c r="H70" s="288"/>
    </row>
  </sheetData>
  <mergeCells count="11">
    <mergeCell ref="I66:J66"/>
    <mergeCell ref="C3:S3"/>
    <mergeCell ref="D5:D6"/>
    <mergeCell ref="E5:E6"/>
    <mergeCell ref="F5:F6"/>
    <mergeCell ref="G5:G6"/>
    <mergeCell ref="H5:H6"/>
    <mergeCell ref="I5:I6"/>
    <mergeCell ref="J5:K5"/>
    <mergeCell ref="L5:S5"/>
    <mergeCell ref="C5:C6"/>
  </mergeCells>
  <conditionalFormatting sqref="L14:O14 L15:S23 L24:O24 L30:O32 L33:S44 L45:O46 L59:M60 L47:S58 L8:S13 L25:S29">
    <cfRule type="containsText" dxfId="35" priority="37" operator="containsText" text="In progress">
      <formula>NOT(ISERROR(SEARCH("In progress",L8)))</formula>
    </cfRule>
    <cfRule type="containsText" dxfId="34" priority="38" operator="containsText" text="Done">
      <formula>NOT(ISERROR(SEARCH("Done",L8)))</formula>
    </cfRule>
  </conditionalFormatting>
  <conditionalFormatting sqref="P24:S24">
    <cfRule type="containsText" dxfId="33" priority="35" operator="containsText" text="In progress">
      <formula>NOT(ISERROR(SEARCH("In progress",P24)))</formula>
    </cfRule>
    <cfRule type="containsText" dxfId="32" priority="36" operator="containsText" text="Done">
      <formula>NOT(ISERROR(SEARCH("Done",P24)))</formula>
    </cfRule>
  </conditionalFormatting>
  <conditionalFormatting sqref="Q30:S30">
    <cfRule type="containsText" dxfId="31" priority="33" operator="containsText" text="In progress">
      <formula>NOT(ISERROR(SEARCH("In progress",Q30)))</formula>
    </cfRule>
    <cfRule type="containsText" dxfId="30" priority="34" operator="containsText" text="Done">
      <formula>NOT(ISERROR(SEARCH("Done",Q30)))</formula>
    </cfRule>
  </conditionalFormatting>
  <conditionalFormatting sqref="P31:S31">
    <cfRule type="containsText" dxfId="29" priority="31" operator="containsText" text="In progress">
      <formula>NOT(ISERROR(SEARCH("In progress",P31)))</formula>
    </cfRule>
    <cfRule type="containsText" dxfId="28" priority="32" operator="containsText" text="Done">
      <formula>NOT(ISERROR(SEARCH("Done",P31)))</formula>
    </cfRule>
  </conditionalFormatting>
  <conditionalFormatting sqref="R32:S32">
    <cfRule type="containsText" dxfId="27" priority="29" operator="containsText" text="In progress">
      <formula>NOT(ISERROR(SEARCH("In progress",R32)))</formula>
    </cfRule>
    <cfRule type="containsText" dxfId="26" priority="30" operator="containsText" text="Done">
      <formula>NOT(ISERROR(SEARCH("Done",R32)))</formula>
    </cfRule>
  </conditionalFormatting>
  <conditionalFormatting sqref="R45:S45">
    <cfRule type="containsText" dxfId="25" priority="27" operator="containsText" text="In progress">
      <formula>NOT(ISERROR(SEARCH("In progress",R45)))</formula>
    </cfRule>
    <cfRule type="containsText" dxfId="24" priority="28" operator="containsText" text="Done">
      <formula>NOT(ISERROR(SEARCH("Done",R45)))</formula>
    </cfRule>
  </conditionalFormatting>
  <conditionalFormatting sqref="R46:S46">
    <cfRule type="containsText" dxfId="23" priority="25" operator="containsText" text="In progress">
      <formula>NOT(ISERROR(SEARCH("In progress",R46)))</formula>
    </cfRule>
    <cfRule type="containsText" dxfId="22" priority="26" operator="containsText" text="Done">
      <formula>NOT(ISERROR(SEARCH("Done",R46)))</formula>
    </cfRule>
  </conditionalFormatting>
  <conditionalFormatting sqref="N59:S59">
    <cfRule type="containsText" dxfId="21" priority="23" operator="containsText" text="In progress">
      <formula>NOT(ISERROR(SEARCH("In progress",N59)))</formula>
    </cfRule>
    <cfRule type="containsText" dxfId="20" priority="24" operator="containsText" text="Done">
      <formula>NOT(ISERROR(SEARCH("Done",N59)))</formula>
    </cfRule>
  </conditionalFormatting>
  <conditionalFormatting sqref="N60:S60">
    <cfRule type="containsText" dxfId="19" priority="21" operator="containsText" text="In progress">
      <formula>NOT(ISERROR(SEARCH("In progress",N60)))</formula>
    </cfRule>
    <cfRule type="containsText" dxfId="18" priority="22" operator="containsText" text="Done">
      <formula>NOT(ISERROR(SEARCH("Done",N60)))</formula>
    </cfRule>
  </conditionalFormatting>
  <conditionalFormatting sqref="Q14:S14">
    <cfRule type="containsText" dxfId="17" priority="17" operator="containsText" text="In progress">
      <formula>NOT(ISERROR(SEARCH("In progress",Q14)))</formula>
    </cfRule>
    <cfRule type="containsText" dxfId="16" priority="18" operator="containsText" text="Done">
      <formula>NOT(ISERROR(SEARCH("Done",Q14)))</formula>
    </cfRule>
  </conditionalFormatting>
  <conditionalFormatting sqref="P14">
    <cfRule type="containsText" dxfId="15" priority="15" operator="containsText" text="In progress">
      <formula>NOT(ISERROR(SEARCH("In progress",P14)))</formula>
    </cfRule>
    <cfRule type="containsText" dxfId="14" priority="16" operator="containsText" text="Done">
      <formula>NOT(ISERROR(SEARCH("Done",P14)))</formula>
    </cfRule>
  </conditionalFormatting>
  <conditionalFormatting sqref="P30">
    <cfRule type="containsText" dxfId="13" priority="13" operator="containsText" text="In progress">
      <formula>NOT(ISERROR(SEARCH("In progress",P30)))</formula>
    </cfRule>
    <cfRule type="containsText" dxfId="12" priority="14" operator="containsText" text="Done">
      <formula>NOT(ISERROR(SEARCH("Done",P30)))</formula>
    </cfRule>
  </conditionalFormatting>
  <conditionalFormatting sqref="P45">
    <cfRule type="containsText" dxfId="11" priority="11" operator="containsText" text="In progress">
      <formula>NOT(ISERROR(SEARCH("In progress",P45)))</formula>
    </cfRule>
    <cfRule type="containsText" dxfId="10" priority="12" operator="containsText" text="Done">
      <formula>NOT(ISERROR(SEARCH("Done",P45)))</formula>
    </cfRule>
  </conditionalFormatting>
  <conditionalFormatting sqref="Q45">
    <cfRule type="containsText" dxfId="9" priority="9" operator="containsText" text="In progress">
      <formula>NOT(ISERROR(SEARCH("In progress",Q45)))</formula>
    </cfRule>
    <cfRule type="containsText" dxfId="8" priority="10" operator="containsText" text="Done">
      <formula>NOT(ISERROR(SEARCH("Done",Q45)))</formula>
    </cfRule>
  </conditionalFormatting>
  <conditionalFormatting sqref="P46">
    <cfRule type="containsText" dxfId="7" priority="7" operator="containsText" text="In progress">
      <formula>NOT(ISERROR(SEARCH("In progress",P46)))</formula>
    </cfRule>
    <cfRule type="containsText" dxfId="6" priority="8" operator="containsText" text="Done">
      <formula>NOT(ISERROR(SEARCH("Done",P46)))</formula>
    </cfRule>
  </conditionalFormatting>
  <conditionalFormatting sqref="Q46">
    <cfRule type="containsText" dxfId="5" priority="5" operator="containsText" text="In progress">
      <formula>NOT(ISERROR(SEARCH("In progress",Q46)))</formula>
    </cfRule>
    <cfRule type="containsText" dxfId="4" priority="6" operator="containsText" text="Done">
      <formula>NOT(ISERROR(SEARCH("Done",Q46)))</formula>
    </cfRule>
  </conditionalFormatting>
  <conditionalFormatting sqref="P32">
    <cfRule type="containsText" dxfId="3" priority="3" operator="containsText" text="In progress">
      <formula>NOT(ISERROR(SEARCH("In progress",P32)))</formula>
    </cfRule>
    <cfRule type="containsText" dxfId="2" priority="4" operator="containsText" text="Done">
      <formula>NOT(ISERROR(SEARCH("Done",P32)))</formula>
    </cfRule>
  </conditionalFormatting>
  <conditionalFormatting sqref="Q32">
    <cfRule type="containsText" dxfId="1" priority="1" operator="containsText" text="In progress">
      <formula>NOT(ISERROR(SEARCH("In progress",Q32)))</formula>
    </cfRule>
    <cfRule type="containsText" dxfId="0" priority="2" operator="containsText" text="Done">
      <formula>NOT(ISERROR(SEARCH("Done",Q32)))</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IQ48"/>
  <sheetViews>
    <sheetView workbookViewId="0">
      <selection activeCell="H3" sqref="H3"/>
    </sheetView>
  </sheetViews>
  <sheetFormatPr defaultColWidth="10.81640625" defaultRowHeight="10.5" x14ac:dyDescent="0.35"/>
  <cols>
    <col min="1" max="1" width="5" style="294" customWidth="1"/>
    <col min="2" max="2" width="13" style="289" customWidth="1"/>
    <col min="3" max="3" width="10.81640625" style="289" customWidth="1"/>
    <col min="4" max="4" width="12.453125" style="289" customWidth="1"/>
    <col min="5" max="5" width="15.54296875" style="289" customWidth="1"/>
    <col min="6" max="6" width="13.54296875" style="289" customWidth="1"/>
    <col min="7" max="7" width="10.81640625" style="289" customWidth="1"/>
    <col min="8" max="8" width="40.453125" style="295" customWidth="1"/>
    <col min="9" max="9" width="40.54296875" style="296" customWidth="1"/>
    <col min="10" max="10" width="25.81640625" style="289" customWidth="1"/>
    <col min="11" max="251" width="10.81640625" style="289" customWidth="1"/>
    <col min="252" max="16384" width="10.81640625" style="290"/>
  </cols>
  <sheetData>
    <row r="1" spans="1:251" ht="43.5" customHeight="1" x14ac:dyDescent="0.35">
      <c r="A1" s="1191" t="s">
        <v>1180</v>
      </c>
      <c r="B1" s="1192"/>
      <c r="C1" s="1192"/>
      <c r="D1" s="1192"/>
      <c r="E1" s="1192"/>
      <c r="F1" s="1192"/>
      <c r="G1" s="1192"/>
      <c r="H1" s="1192"/>
      <c r="I1" s="1192"/>
      <c r="J1" s="1192"/>
    </row>
    <row r="2" spans="1:251" ht="27.75" customHeight="1" x14ac:dyDescent="0.35">
      <c r="A2" s="718" t="s">
        <v>1181</v>
      </c>
      <c r="B2" s="719" t="s">
        <v>1182</v>
      </c>
      <c r="C2" s="719" t="s">
        <v>1183</v>
      </c>
      <c r="D2" s="719" t="s">
        <v>1184</v>
      </c>
      <c r="E2" s="719" t="s">
        <v>1185</v>
      </c>
      <c r="F2" s="719" t="s">
        <v>1186</v>
      </c>
      <c r="G2" s="719" t="s">
        <v>1187</v>
      </c>
      <c r="H2" s="719" t="s">
        <v>1188</v>
      </c>
      <c r="I2" s="719" t="s">
        <v>1189</v>
      </c>
      <c r="J2" s="719" t="s">
        <v>1190</v>
      </c>
    </row>
    <row r="3" spans="1:251" s="292" customFormat="1" ht="39.75" customHeight="1" x14ac:dyDescent="0.35">
      <c r="A3" s="720" t="s">
        <v>1191</v>
      </c>
      <c r="B3" s="721" t="s">
        <v>1192</v>
      </c>
      <c r="C3" s="722" t="s">
        <v>1357</v>
      </c>
      <c r="D3" s="722" t="s">
        <v>1358</v>
      </c>
      <c r="E3" s="722" t="s">
        <v>1193</v>
      </c>
      <c r="F3" s="721" t="s">
        <v>1359</v>
      </c>
      <c r="G3" s="722" t="s">
        <v>1360</v>
      </c>
      <c r="H3" s="723" t="s">
        <v>1361</v>
      </c>
      <c r="I3" s="724"/>
      <c r="J3" s="724"/>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c r="DV3" s="291"/>
      <c r="DW3" s="291"/>
      <c r="DX3" s="291"/>
      <c r="DY3" s="291"/>
      <c r="DZ3" s="291"/>
      <c r="EA3" s="291"/>
      <c r="EB3" s="291"/>
      <c r="EC3" s="291"/>
      <c r="ED3" s="291"/>
      <c r="EE3" s="291"/>
      <c r="EF3" s="291"/>
      <c r="EG3" s="291"/>
      <c r="EH3" s="291"/>
      <c r="EI3" s="291"/>
      <c r="EJ3" s="291"/>
      <c r="EK3" s="291"/>
      <c r="EL3" s="291"/>
      <c r="EM3" s="291"/>
      <c r="EN3" s="291"/>
      <c r="EO3" s="291"/>
      <c r="EP3" s="291"/>
      <c r="EQ3" s="291"/>
      <c r="ER3" s="291"/>
      <c r="ES3" s="291"/>
      <c r="ET3" s="291"/>
      <c r="EU3" s="291"/>
      <c r="EV3" s="291"/>
      <c r="EW3" s="291"/>
      <c r="EX3" s="291"/>
      <c r="EY3" s="291"/>
      <c r="EZ3" s="291"/>
      <c r="FA3" s="291"/>
      <c r="FB3" s="291"/>
      <c r="FC3" s="291"/>
      <c r="FD3" s="291"/>
      <c r="FE3" s="291"/>
      <c r="FF3" s="291"/>
      <c r="FG3" s="291"/>
      <c r="FH3" s="291"/>
      <c r="FI3" s="291"/>
      <c r="FJ3" s="291"/>
      <c r="FK3" s="291"/>
      <c r="FL3" s="291"/>
      <c r="FM3" s="291"/>
      <c r="FN3" s="291"/>
      <c r="FO3" s="291"/>
      <c r="FP3" s="291"/>
      <c r="FQ3" s="291"/>
      <c r="FR3" s="291"/>
      <c r="FS3" s="291"/>
      <c r="FT3" s="291"/>
      <c r="FU3" s="291"/>
      <c r="FV3" s="291"/>
      <c r="FW3" s="291"/>
      <c r="FX3" s="291"/>
      <c r="FY3" s="291"/>
      <c r="FZ3" s="291"/>
      <c r="GA3" s="291"/>
      <c r="GB3" s="291"/>
      <c r="GC3" s="291"/>
      <c r="GD3" s="291"/>
      <c r="GE3" s="291"/>
      <c r="GF3" s="291"/>
      <c r="GG3" s="291"/>
      <c r="GH3" s="291"/>
      <c r="GI3" s="291"/>
      <c r="GJ3" s="291"/>
      <c r="GK3" s="291"/>
      <c r="GL3" s="291"/>
      <c r="GM3" s="291"/>
      <c r="GN3" s="291"/>
      <c r="GO3" s="291"/>
      <c r="GP3" s="291"/>
      <c r="GQ3" s="291"/>
      <c r="GR3" s="291"/>
      <c r="GS3" s="291"/>
      <c r="GT3" s="291"/>
      <c r="GU3" s="291"/>
      <c r="GV3" s="291"/>
      <c r="GW3" s="291"/>
      <c r="GX3" s="291"/>
      <c r="GY3" s="291"/>
      <c r="GZ3" s="291"/>
      <c r="HA3" s="291"/>
      <c r="HB3" s="291"/>
      <c r="HC3" s="291"/>
      <c r="HD3" s="291"/>
      <c r="HE3" s="291"/>
      <c r="HF3" s="291"/>
      <c r="HG3" s="291"/>
      <c r="HH3" s="291"/>
      <c r="HI3" s="291"/>
      <c r="HJ3" s="291"/>
      <c r="HK3" s="291"/>
      <c r="HL3" s="291"/>
      <c r="HM3" s="291"/>
      <c r="HN3" s="291"/>
      <c r="HO3" s="291"/>
      <c r="HP3" s="291"/>
      <c r="HQ3" s="291"/>
      <c r="HR3" s="291"/>
      <c r="HS3" s="291"/>
      <c r="HT3" s="291"/>
      <c r="HU3" s="291"/>
      <c r="HV3" s="291"/>
      <c r="HW3" s="291"/>
      <c r="HX3" s="291"/>
      <c r="HY3" s="291"/>
      <c r="HZ3" s="291"/>
      <c r="IA3" s="291"/>
      <c r="IB3" s="291"/>
      <c r="IC3" s="291"/>
      <c r="ID3" s="291"/>
      <c r="IE3" s="291"/>
      <c r="IF3" s="291"/>
      <c r="IG3" s="291"/>
      <c r="IH3" s="291"/>
      <c r="II3" s="291"/>
      <c r="IJ3" s="291"/>
      <c r="IK3" s="291"/>
      <c r="IL3" s="291"/>
      <c r="IM3" s="291"/>
      <c r="IN3" s="291"/>
      <c r="IO3" s="291"/>
      <c r="IP3" s="291"/>
      <c r="IQ3" s="291"/>
    </row>
    <row r="4" spans="1:251" s="292" customFormat="1" ht="48.75" customHeight="1" x14ac:dyDescent="0.35">
      <c r="A4" s="725">
        <f>A3+1</f>
        <v>2</v>
      </c>
      <c r="B4" s="721" t="s">
        <v>1194</v>
      </c>
      <c r="C4" s="722" t="s">
        <v>1195</v>
      </c>
      <c r="D4" s="722" t="s">
        <v>1358</v>
      </c>
      <c r="E4" s="722" t="s">
        <v>1196</v>
      </c>
      <c r="F4" s="721" t="s">
        <v>1362</v>
      </c>
      <c r="G4" s="722" t="s">
        <v>1363</v>
      </c>
      <c r="H4" s="771" t="s">
        <v>1364</v>
      </c>
      <c r="I4" s="724"/>
      <c r="J4" s="724"/>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c r="DM4" s="291"/>
      <c r="DN4" s="291"/>
      <c r="DO4" s="291"/>
      <c r="DP4" s="291"/>
      <c r="DQ4" s="291"/>
      <c r="DR4" s="291"/>
      <c r="DS4" s="291"/>
      <c r="DT4" s="291"/>
      <c r="DU4" s="291"/>
      <c r="DV4" s="291"/>
      <c r="DW4" s="291"/>
      <c r="DX4" s="291"/>
      <c r="DY4" s="291"/>
      <c r="DZ4" s="291"/>
      <c r="EA4" s="291"/>
      <c r="EB4" s="291"/>
      <c r="EC4" s="291"/>
      <c r="ED4" s="291"/>
      <c r="EE4" s="291"/>
      <c r="EF4" s="291"/>
      <c r="EG4" s="291"/>
      <c r="EH4" s="291"/>
      <c r="EI4" s="291"/>
      <c r="EJ4" s="291"/>
      <c r="EK4" s="291"/>
      <c r="EL4" s="291"/>
      <c r="EM4" s="291"/>
      <c r="EN4" s="291"/>
      <c r="EO4" s="291"/>
      <c r="EP4" s="291"/>
      <c r="EQ4" s="291"/>
      <c r="ER4" s="291"/>
      <c r="ES4" s="291"/>
      <c r="ET4" s="291"/>
      <c r="EU4" s="291"/>
      <c r="EV4" s="291"/>
      <c r="EW4" s="291"/>
      <c r="EX4" s="291"/>
      <c r="EY4" s="291"/>
      <c r="EZ4" s="291"/>
      <c r="FA4" s="291"/>
      <c r="FB4" s="291"/>
      <c r="FC4" s="291"/>
      <c r="FD4" s="291"/>
      <c r="FE4" s="291"/>
      <c r="FF4" s="291"/>
      <c r="FG4" s="291"/>
      <c r="FH4" s="291"/>
      <c r="FI4" s="291"/>
      <c r="FJ4" s="291"/>
      <c r="FK4" s="291"/>
      <c r="FL4" s="291"/>
      <c r="FM4" s="291"/>
      <c r="FN4" s="291"/>
      <c r="FO4" s="291"/>
      <c r="FP4" s="291"/>
      <c r="FQ4" s="291"/>
      <c r="FR4" s="291"/>
      <c r="FS4" s="291"/>
      <c r="FT4" s="291"/>
      <c r="FU4" s="291"/>
      <c r="FV4" s="291"/>
      <c r="FW4" s="291"/>
      <c r="FX4" s="291"/>
      <c r="FY4" s="291"/>
      <c r="FZ4" s="291"/>
      <c r="GA4" s="291"/>
      <c r="GB4" s="291"/>
      <c r="GC4" s="291"/>
      <c r="GD4" s="291"/>
      <c r="GE4" s="291"/>
      <c r="GF4" s="291"/>
      <c r="GG4" s="291"/>
      <c r="GH4" s="291"/>
      <c r="GI4" s="291"/>
      <c r="GJ4" s="291"/>
      <c r="GK4" s="291"/>
      <c r="GL4" s="291"/>
      <c r="GM4" s="291"/>
      <c r="GN4" s="291"/>
      <c r="GO4" s="291"/>
      <c r="GP4" s="291"/>
      <c r="GQ4" s="291"/>
      <c r="GR4" s="291"/>
      <c r="GS4" s="291"/>
      <c r="GT4" s="291"/>
      <c r="GU4" s="291"/>
      <c r="GV4" s="291"/>
      <c r="GW4" s="291"/>
      <c r="GX4" s="291"/>
      <c r="GY4" s="291"/>
      <c r="GZ4" s="291"/>
      <c r="HA4" s="291"/>
      <c r="HB4" s="291"/>
      <c r="HC4" s="291"/>
      <c r="HD4" s="291"/>
      <c r="HE4" s="291"/>
      <c r="HF4" s="291"/>
      <c r="HG4" s="291"/>
      <c r="HH4" s="291"/>
      <c r="HI4" s="291"/>
      <c r="HJ4" s="291"/>
      <c r="HK4" s="291"/>
      <c r="HL4" s="291"/>
      <c r="HM4" s="291"/>
      <c r="HN4" s="291"/>
      <c r="HO4" s="291"/>
      <c r="HP4" s="291"/>
      <c r="HQ4" s="291"/>
      <c r="HR4" s="291"/>
      <c r="HS4" s="291"/>
      <c r="HT4" s="291"/>
      <c r="HU4" s="291"/>
      <c r="HV4" s="291"/>
      <c r="HW4" s="291"/>
      <c r="HX4" s="291"/>
      <c r="HY4" s="291"/>
      <c r="HZ4" s="291"/>
      <c r="IA4" s="291"/>
      <c r="IB4" s="291"/>
      <c r="IC4" s="291"/>
      <c r="ID4" s="291"/>
      <c r="IE4" s="291"/>
      <c r="IF4" s="291"/>
      <c r="IG4" s="291"/>
      <c r="IH4" s="291"/>
      <c r="II4" s="291"/>
      <c r="IJ4" s="291"/>
      <c r="IK4" s="291"/>
      <c r="IL4" s="291"/>
      <c r="IM4" s="291"/>
      <c r="IN4" s="291"/>
      <c r="IO4" s="291"/>
      <c r="IP4" s="291"/>
      <c r="IQ4" s="291"/>
    </row>
    <row r="5" spans="1:251" s="292" customFormat="1" ht="48" customHeight="1" x14ac:dyDescent="0.35">
      <c r="A5" s="725">
        <f t="shared" ref="A5:A48" si="0">A4+1</f>
        <v>3</v>
      </c>
      <c r="B5" s="721" t="s">
        <v>1197</v>
      </c>
      <c r="C5" s="722" t="s">
        <v>1195</v>
      </c>
      <c r="D5" s="722" t="s">
        <v>1358</v>
      </c>
      <c r="E5" s="722" t="s">
        <v>1198</v>
      </c>
      <c r="F5" s="721" t="s">
        <v>1362</v>
      </c>
      <c r="G5" s="722" t="s">
        <v>1365</v>
      </c>
      <c r="H5" s="771" t="s">
        <v>1364</v>
      </c>
      <c r="I5" s="724"/>
      <c r="J5" s="724"/>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c r="DM5" s="291"/>
      <c r="DN5" s="291"/>
      <c r="DO5" s="291"/>
      <c r="DP5" s="291"/>
      <c r="DQ5" s="291"/>
      <c r="DR5" s="291"/>
      <c r="DS5" s="291"/>
      <c r="DT5" s="291"/>
      <c r="DU5" s="291"/>
      <c r="DV5" s="291"/>
      <c r="DW5" s="291"/>
      <c r="DX5" s="291"/>
      <c r="DY5" s="291"/>
      <c r="DZ5" s="291"/>
      <c r="EA5" s="291"/>
      <c r="EB5" s="291"/>
      <c r="EC5" s="291"/>
      <c r="ED5" s="291"/>
      <c r="EE5" s="291"/>
      <c r="EF5" s="291"/>
      <c r="EG5" s="291"/>
      <c r="EH5" s="291"/>
      <c r="EI5" s="291"/>
      <c r="EJ5" s="291"/>
      <c r="EK5" s="291"/>
      <c r="EL5" s="291"/>
      <c r="EM5" s="291"/>
      <c r="EN5" s="291"/>
      <c r="EO5" s="291"/>
      <c r="EP5" s="291"/>
      <c r="EQ5" s="291"/>
      <c r="ER5" s="291"/>
      <c r="ES5" s="291"/>
      <c r="ET5" s="291"/>
      <c r="EU5" s="291"/>
      <c r="EV5" s="291"/>
      <c r="EW5" s="291"/>
      <c r="EX5" s="291"/>
      <c r="EY5" s="291"/>
      <c r="EZ5" s="291"/>
      <c r="FA5" s="291"/>
      <c r="FB5" s="291"/>
      <c r="FC5" s="291"/>
      <c r="FD5" s="291"/>
      <c r="FE5" s="291"/>
      <c r="FF5" s="291"/>
      <c r="FG5" s="291"/>
      <c r="FH5" s="291"/>
      <c r="FI5" s="291"/>
      <c r="FJ5" s="291"/>
      <c r="FK5" s="291"/>
      <c r="FL5" s="291"/>
      <c r="FM5" s="291"/>
      <c r="FN5" s="291"/>
      <c r="FO5" s="291"/>
      <c r="FP5" s="291"/>
      <c r="FQ5" s="291"/>
      <c r="FR5" s="291"/>
      <c r="FS5" s="291"/>
      <c r="FT5" s="291"/>
      <c r="FU5" s="291"/>
      <c r="FV5" s="291"/>
      <c r="FW5" s="291"/>
      <c r="FX5" s="291"/>
      <c r="FY5" s="291"/>
      <c r="FZ5" s="291"/>
      <c r="GA5" s="291"/>
      <c r="GB5" s="291"/>
      <c r="GC5" s="291"/>
      <c r="GD5" s="291"/>
      <c r="GE5" s="291"/>
      <c r="GF5" s="291"/>
      <c r="GG5" s="291"/>
      <c r="GH5" s="291"/>
      <c r="GI5" s="291"/>
      <c r="GJ5" s="291"/>
      <c r="GK5" s="291"/>
      <c r="GL5" s="291"/>
      <c r="GM5" s="291"/>
      <c r="GN5" s="291"/>
      <c r="GO5" s="291"/>
      <c r="GP5" s="291"/>
      <c r="GQ5" s="291"/>
      <c r="GR5" s="291"/>
      <c r="GS5" s="291"/>
      <c r="GT5" s="291"/>
      <c r="GU5" s="291"/>
      <c r="GV5" s="291"/>
      <c r="GW5" s="291"/>
      <c r="GX5" s="291"/>
      <c r="GY5" s="291"/>
      <c r="GZ5" s="291"/>
      <c r="HA5" s="291"/>
      <c r="HB5" s="291"/>
      <c r="HC5" s="291"/>
      <c r="HD5" s="291"/>
      <c r="HE5" s="291"/>
      <c r="HF5" s="291"/>
      <c r="HG5" s="291"/>
      <c r="HH5" s="291"/>
      <c r="HI5" s="291"/>
      <c r="HJ5" s="291"/>
      <c r="HK5" s="291"/>
      <c r="HL5" s="291"/>
      <c r="HM5" s="291"/>
      <c r="HN5" s="291"/>
      <c r="HO5" s="291"/>
      <c r="HP5" s="291"/>
      <c r="HQ5" s="291"/>
      <c r="HR5" s="291"/>
      <c r="HS5" s="291"/>
      <c r="HT5" s="291"/>
      <c r="HU5" s="291"/>
      <c r="HV5" s="291"/>
      <c r="HW5" s="291"/>
      <c r="HX5" s="291"/>
      <c r="HY5" s="291"/>
      <c r="HZ5" s="291"/>
      <c r="IA5" s="291"/>
      <c r="IB5" s="291"/>
      <c r="IC5" s="291"/>
      <c r="ID5" s="291"/>
      <c r="IE5" s="291"/>
      <c r="IF5" s="291"/>
      <c r="IG5" s="291"/>
      <c r="IH5" s="291"/>
      <c r="II5" s="291"/>
      <c r="IJ5" s="291"/>
      <c r="IK5" s="291"/>
      <c r="IL5" s="291"/>
      <c r="IM5" s="291"/>
      <c r="IN5" s="291"/>
      <c r="IO5" s="291"/>
      <c r="IP5" s="291"/>
      <c r="IQ5" s="291"/>
    </row>
    <row r="6" spans="1:251" s="292" customFormat="1" ht="31.5" customHeight="1" x14ac:dyDescent="0.35">
      <c r="A6" s="725">
        <f t="shared" si="0"/>
        <v>4</v>
      </c>
      <c r="B6" s="721" t="s">
        <v>1199</v>
      </c>
      <c r="C6" s="722" t="s">
        <v>1195</v>
      </c>
      <c r="D6" s="722" t="s">
        <v>1200</v>
      </c>
      <c r="E6" s="722" t="s">
        <v>1201</v>
      </c>
      <c r="F6" s="721" t="s">
        <v>1362</v>
      </c>
      <c r="G6" s="722" t="s">
        <v>1365</v>
      </c>
      <c r="H6" s="771" t="s">
        <v>1364</v>
      </c>
      <c r="I6" s="724"/>
      <c r="J6" s="724"/>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1"/>
      <c r="DL6" s="291"/>
      <c r="DM6" s="291"/>
      <c r="DN6" s="291"/>
      <c r="DO6" s="291"/>
      <c r="DP6" s="291"/>
      <c r="DQ6" s="291"/>
      <c r="DR6" s="291"/>
      <c r="DS6" s="291"/>
      <c r="DT6" s="291"/>
      <c r="DU6" s="291"/>
      <c r="DV6" s="291"/>
      <c r="DW6" s="291"/>
      <c r="DX6" s="291"/>
      <c r="DY6" s="291"/>
      <c r="DZ6" s="291"/>
      <c r="EA6" s="291"/>
      <c r="EB6" s="291"/>
      <c r="EC6" s="291"/>
      <c r="ED6" s="291"/>
      <c r="EE6" s="291"/>
      <c r="EF6" s="291"/>
      <c r="EG6" s="291"/>
      <c r="EH6" s="291"/>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1"/>
      <c r="FG6" s="291"/>
      <c r="FH6" s="291"/>
      <c r="FI6" s="291"/>
      <c r="FJ6" s="291"/>
      <c r="FK6" s="291"/>
      <c r="FL6" s="291"/>
      <c r="FM6" s="291"/>
      <c r="FN6" s="291"/>
      <c r="FO6" s="291"/>
      <c r="FP6" s="291"/>
      <c r="FQ6" s="291"/>
      <c r="FR6" s="291"/>
      <c r="FS6" s="291"/>
      <c r="FT6" s="291"/>
      <c r="FU6" s="291"/>
      <c r="FV6" s="291"/>
      <c r="FW6" s="291"/>
      <c r="FX6" s="291"/>
      <c r="FY6" s="291"/>
      <c r="FZ6" s="291"/>
      <c r="GA6" s="291"/>
      <c r="GB6" s="291"/>
      <c r="GC6" s="291"/>
      <c r="GD6" s="291"/>
      <c r="GE6" s="291"/>
      <c r="GF6" s="291"/>
      <c r="GG6" s="291"/>
      <c r="GH6" s="291"/>
      <c r="GI6" s="291"/>
      <c r="GJ6" s="291"/>
      <c r="GK6" s="291"/>
      <c r="GL6" s="291"/>
      <c r="GM6" s="291"/>
      <c r="GN6" s="291"/>
      <c r="GO6" s="291"/>
      <c r="GP6" s="291"/>
      <c r="GQ6" s="291"/>
      <c r="GR6" s="291"/>
      <c r="GS6" s="291"/>
      <c r="GT6" s="291"/>
      <c r="GU6" s="291"/>
      <c r="GV6" s="291"/>
      <c r="GW6" s="291"/>
      <c r="GX6" s="291"/>
      <c r="GY6" s="291"/>
      <c r="GZ6" s="291"/>
      <c r="HA6" s="291"/>
      <c r="HB6" s="291"/>
      <c r="HC6" s="291"/>
      <c r="HD6" s="291"/>
      <c r="HE6" s="291"/>
      <c r="HF6" s="291"/>
      <c r="HG6" s="291"/>
      <c r="HH6" s="291"/>
      <c r="HI6" s="291"/>
      <c r="HJ6" s="291"/>
      <c r="HK6" s="291"/>
      <c r="HL6" s="291"/>
      <c r="HM6" s="291"/>
      <c r="HN6" s="291"/>
      <c r="HO6" s="291"/>
      <c r="HP6" s="291"/>
      <c r="HQ6" s="291"/>
      <c r="HR6" s="291"/>
      <c r="HS6" s="291"/>
      <c r="HT6" s="291"/>
      <c r="HU6" s="291"/>
      <c r="HV6" s="291"/>
      <c r="HW6" s="291"/>
      <c r="HX6" s="291"/>
      <c r="HY6" s="291"/>
      <c r="HZ6" s="291"/>
      <c r="IA6" s="291"/>
      <c r="IB6" s="291"/>
      <c r="IC6" s="291"/>
      <c r="ID6" s="291"/>
      <c r="IE6" s="291"/>
      <c r="IF6" s="291"/>
      <c r="IG6" s="291"/>
      <c r="IH6" s="291"/>
      <c r="II6" s="291"/>
      <c r="IJ6" s="291"/>
      <c r="IK6" s="291"/>
      <c r="IL6" s="291"/>
      <c r="IM6" s="291"/>
      <c r="IN6" s="291"/>
      <c r="IO6" s="291"/>
      <c r="IP6" s="291"/>
      <c r="IQ6" s="291"/>
    </row>
    <row r="7" spans="1:251" s="292" customFormat="1" ht="27.75" customHeight="1" x14ac:dyDescent="0.35">
      <c r="A7" s="725">
        <f t="shared" si="0"/>
        <v>5</v>
      </c>
      <c r="B7" s="721" t="s">
        <v>1202</v>
      </c>
      <c r="C7" s="722" t="s">
        <v>1357</v>
      </c>
      <c r="D7" s="722" t="s">
        <v>1358</v>
      </c>
      <c r="E7" s="722" t="s">
        <v>1193</v>
      </c>
      <c r="F7" s="721" t="s">
        <v>1359</v>
      </c>
      <c r="G7" s="722" t="s">
        <v>1366</v>
      </c>
      <c r="H7" s="771" t="s">
        <v>1364</v>
      </c>
      <c r="I7" s="724" t="s">
        <v>1203</v>
      </c>
      <c r="J7" s="724" t="s">
        <v>1203</v>
      </c>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c r="CB7" s="291"/>
      <c r="CC7" s="291"/>
      <c r="CD7" s="291"/>
      <c r="CE7" s="291"/>
      <c r="CF7" s="291"/>
      <c r="CG7" s="291"/>
      <c r="CH7" s="291"/>
      <c r="CI7" s="291"/>
      <c r="CJ7" s="291"/>
      <c r="CK7" s="291"/>
      <c r="CL7" s="291"/>
      <c r="CM7" s="291"/>
      <c r="CN7" s="291"/>
      <c r="CO7" s="291"/>
      <c r="CP7" s="291"/>
      <c r="CQ7" s="291"/>
      <c r="CR7" s="291"/>
      <c r="CS7" s="291"/>
      <c r="CT7" s="291"/>
      <c r="CU7" s="291"/>
      <c r="CV7" s="291"/>
      <c r="CW7" s="291"/>
      <c r="CX7" s="291"/>
      <c r="CY7" s="291"/>
      <c r="CZ7" s="291"/>
      <c r="DA7" s="291"/>
      <c r="DB7" s="291"/>
      <c r="DC7" s="291"/>
      <c r="DD7" s="291"/>
      <c r="DE7" s="291"/>
      <c r="DF7" s="291"/>
      <c r="DG7" s="291"/>
      <c r="DH7" s="291"/>
      <c r="DI7" s="291"/>
      <c r="DJ7" s="291"/>
      <c r="DK7" s="291"/>
      <c r="DL7" s="291"/>
      <c r="DM7" s="291"/>
      <c r="DN7" s="291"/>
      <c r="DO7" s="291"/>
      <c r="DP7" s="291"/>
      <c r="DQ7" s="291"/>
      <c r="DR7" s="291"/>
      <c r="DS7" s="291"/>
      <c r="DT7" s="291"/>
      <c r="DU7" s="291"/>
      <c r="DV7" s="291"/>
      <c r="DW7" s="291"/>
      <c r="DX7" s="291"/>
      <c r="DY7" s="291"/>
      <c r="DZ7" s="291"/>
      <c r="EA7" s="291"/>
      <c r="EB7" s="291"/>
      <c r="EC7" s="291"/>
      <c r="ED7" s="291"/>
      <c r="EE7" s="291"/>
      <c r="EF7" s="291"/>
      <c r="EG7" s="291"/>
      <c r="EH7" s="291"/>
      <c r="EI7" s="291"/>
      <c r="EJ7" s="291"/>
      <c r="EK7" s="291"/>
      <c r="EL7" s="291"/>
      <c r="EM7" s="291"/>
      <c r="EN7" s="291"/>
      <c r="EO7" s="291"/>
      <c r="EP7" s="291"/>
      <c r="EQ7" s="291"/>
      <c r="ER7" s="291"/>
      <c r="ES7" s="291"/>
      <c r="ET7" s="291"/>
      <c r="EU7" s="291"/>
      <c r="EV7" s="291"/>
      <c r="EW7" s="291"/>
      <c r="EX7" s="291"/>
      <c r="EY7" s="291"/>
      <c r="EZ7" s="291"/>
      <c r="FA7" s="291"/>
      <c r="FB7" s="291"/>
      <c r="FC7" s="291"/>
      <c r="FD7" s="291"/>
      <c r="FE7" s="291"/>
      <c r="FF7" s="291"/>
      <c r="FG7" s="291"/>
      <c r="FH7" s="291"/>
      <c r="FI7" s="291"/>
      <c r="FJ7" s="291"/>
      <c r="FK7" s="291"/>
      <c r="FL7" s="291"/>
      <c r="FM7" s="291"/>
      <c r="FN7" s="291"/>
      <c r="FO7" s="291"/>
      <c r="FP7" s="291"/>
      <c r="FQ7" s="291"/>
      <c r="FR7" s="291"/>
      <c r="FS7" s="291"/>
      <c r="FT7" s="291"/>
      <c r="FU7" s="291"/>
      <c r="FV7" s="291"/>
      <c r="FW7" s="291"/>
      <c r="FX7" s="291"/>
      <c r="FY7" s="291"/>
      <c r="FZ7" s="291"/>
      <c r="GA7" s="291"/>
      <c r="GB7" s="291"/>
      <c r="GC7" s="291"/>
      <c r="GD7" s="291"/>
      <c r="GE7" s="291"/>
      <c r="GF7" s="291"/>
      <c r="GG7" s="291"/>
      <c r="GH7" s="291"/>
      <c r="GI7" s="291"/>
      <c r="GJ7" s="291"/>
      <c r="GK7" s="291"/>
      <c r="GL7" s="291"/>
      <c r="GM7" s="291"/>
      <c r="GN7" s="291"/>
      <c r="GO7" s="291"/>
      <c r="GP7" s="291"/>
      <c r="GQ7" s="291"/>
      <c r="GR7" s="291"/>
      <c r="GS7" s="291"/>
      <c r="GT7" s="291"/>
      <c r="GU7" s="291"/>
      <c r="GV7" s="291"/>
      <c r="GW7" s="291"/>
      <c r="GX7" s="291"/>
      <c r="GY7" s="291"/>
      <c r="GZ7" s="291"/>
      <c r="HA7" s="291"/>
      <c r="HB7" s="291"/>
      <c r="HC7" s="291"/>
      <c r="HD7" s="291"/>
      <c r="HE7" s="291"/>
      <c r="HF7" s="291"/>
      <c r="HG7" s="291"/>
      <c r="HH7" s="291"/>
      <c r="HI7" s="291"/>
      <c r="HJ7" s="291"/>
      <c r="HK7" s="291"/>
      <c r="HL7" s="291"/>
      <c r="HM7" s="291"/>
      <c r="HN7" s="291"/>
      <c r="HO7" s="291"/>
      <c r="HP7" s="291"/>
      <c r="HQ7" s="291"/>
      <c r="HR7" s="291"/>
      <c r="HS7" s="291"/>
      <c r="HT7" s="291"/>
      <c r="HU7" s="291"/>
      <c r="HV7" s="291"/>
      <c r="HW7" s="291"/>
      <c r="HX7" s="291"/>
      <c r="HY7" s="291"/>
      <c r="HZ7" s="291"/>
      <c r="IA7" s="291"/>
      <c r="IB7" s="291"/>
      <c r="IC7" s="291"/>
      <c r="ID7" s="291"/>
      <c r="IE7" s="291"/>
      <c r="IF7" s="291"/>
      <c r="IG7" s="291"/>
      <c r="IH7" s="291"/>
      <c r="II7" s="291"/>
      <c r="IJ7" s="291"/>
      <c r="IK7" s="291"/>
      <c r="IL7" s="291"/>
      <c r="IM7" s="291"/>
      <c r="IN7" s="291"/>
      <c r="IO7" s="291"/>
      <c r="IP7" s="291"/>
      <c r="IQ7" s="291"/>
    </row>
    <row r="8" spans="1:251" s="292" customFormat="1" ht="27.75" customHeight="1" x14ac:dyDescent="0.35">
      <c r="A8" s="725">
        <f t="shared" si="0"/>
        <v>6</v>
      </c>
      <c r="B8" s="721" t="s">
        <v>1202</v>
      </c>
      <c r="C8" s="722" t="s">
        <v>1357</v>
      </c>
      <c r="D8" s="722" t="s">
        <v>1358</v>
      </c>
      <c r="E8" s="722" t="s">
        <v>1204</v>
      </c>
      <c r="F8" s="721" t="s">
        <v>1359</v>
      </c>
      <c r="G8" s="722" t="s">
        <v>1367</v>
      </c>
      <c r="H8" s="771" t="s">
        <v>1368</v>
      </c>
      <c r="I8" s="724" t="s">
        <v>1205</v>
      </c>
      <c r="J8" s="724" t="s">
        <v>1205</v>
      </c>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c r="CN8" s="291"/>
      <c r="CO8" s="291"/>
      <c r="CP8" s="291"/>
      <c r="CQ8" s="291"/>
      <c r="CR8" s="291"/>
      <c r="CS8" s="291"/>
      <c r="CT8" s="291"/>
      <c r="CU8" s="291"/>
      <c r="CV8" s="291"/>
      <c r="CW8" s="291"/>
      <c r="CX8" s="291"/>
      <c r="CY8" s="291"/>
      <c r="CZ8" s="291"/>
      <c r="DA8" s="291"/>
      <c r="DB8" s="291"/>
      <c r="DC8" s="291"/>
      <c r="DD8" s="291"/>
      <c r="DE8" s="291"/>
      <c r="DF8" s="291"/>
      <c r="DG8" s="291"/>
      <c r="DH8" s="291"/>
      <c r="DI8" s="291"/>
      <c r="DJ8" s="291"/>
      <c r="DK8" s="291"/>
      <c r="DL8" s="291"/>
      <c r="DM8" s="291"/>
      <c r="DN8" s="291"/>
      <c r="DO8" s="291"/>
      <c r="DP8" s="291"/>
      <c r="DQ8" s="291"/>
      <c r="DR8" s="291"/>
      <c r="DS8" s="291"/>
      <c r="DT8" s="291"/>
      <c r="DU8" s="291"/>
      <c r="DV8" s="291"/>
      <c r="DW8" s="291"/>
      <c r="DX8" s="291"/>
      <c r="DY8" s="291"/>
      <c r="DZ8" s="291"/>
      <c r="EA8" s="291"/>
      <c r="EB8" s="291"/>
      <c r="EC8" s="291"/>
      <c r="ED8" s="291"/>
      <c r="EE8" s="291"/>
      <c r="EF8" s="291"/>
      <c r="EG8" s="291"/>
      <c r="EH8" s="291"/>
      <c r="EI8" s="291"/>
      <c r="EJ8" s="291"/>
      <c r="EK8" s="291"/>
      <c r="EL8" s="291"/>
      <c r="EM8" s="291"/>
      <c r="EN8" s="291"/>
      <c r="EO8" s="291"/>
      <c r="EP8" s="291"/>
      <c r="EQ8" s="291"/>
      <c r="ER8" s="291"/>
      <c r="ES8" s="291"/>
      <c r="ET8" s="291"/>
      <c r="EU8" s="291"/>
      <c r="EV8" s="291"/>
      <c r="EW8" s="291"/>
      <c r="EX8" s="291"/>
      <c r="EY8" s="291"/>
      <c r="EZ8" s="291"/>
      <c r="FA8" s="291"/>
      <c r="FB8" s="291"/>
      <c r="FC8" s="291"/>
      <c r="FD8" s="291"/>
      <c r="FE8" s="291"/>
      <c r="FF8" s="291"/>
      <c r="FG8" s="291"/>
      <c r="FH8" s="291"/>
      <c r="FI8" s="291"/>
      <c r="FJ8" s="291"/>
      <c r="FK8" s="291"/>
      <c r="FL8" s="291"/>
      <c r="FM8" s="291"/>
      <c r="FN8" s="291"/>
      <c r="FO8" s="291"/>
      <c r="FP8" s="291"/>
      <c r="FQ8" s="291"/>
      <c r="FR8" s="291"/>
      <c r="FS8" s="291"/>
      <c r="FT8" s="291"/>
      <c r="FU8" s="291"/>
      <c r="FV8" s="291"/>
      <c r="FW8" s="291"/>
      <c r="FX8" s="291"/>
      <c r="FY8" s="291"/>
      <c r="FZ8" s="291"/>
      <c r="GA8" s="291"/>
      <c r="GB8" s="291"/>
      <c r="GC8" s="291"/>
      <c r="GD8" s="291"/>
      <c r="GE8" s="291"/>
      <c r="GF8" s="291"/>
      <c r="GG8" s="291"/>
      <c r="GH8" s="291"/>
      <c r="GI8" s="291"/>
      <c r="GJ8" s="291"/>
      <c r="GK8" s="291"/>
      <c r="GL8" s="291"/>
      <c r="GM8" s="291"/>
      <c r="GN8" s="291"/>
      <c r="GO8" s="291"/>
      <c r="GP8" s="291"/>
      <c r="GQ8" s="291"/>
      <c r="GR8" s="291"/>
      <c r="GS8" s="291"/>
      <c r="GT8" s="291"/>
      <c r="GU8" s="291"/>
      <c r="GV8" s="291"/>
      <c r="GW8" s="291"/>
      <c r="GX8" s="291"/>
      <c r="GY8" s="291"/>
      <c r="GZ8" s="291"/>
      <c r="HA8" s="291"/>
      <c r="HB8" s="291"/>
      <c r="HC8" s="291"/>
      <c r="HD8" s="291"/>
      <c r="HE8" s="291"/>
      <c r="HF8" s="291"/>
      <c r="HG8" s="291"/>
      <c r="HH8" s="291"/>
      <c r="HI8" s="291"/>
      <c r="HJ8" s="291"/>
      <c r="HK8" s="291"/>
      <c r="HL8" s="291"/>
      <c r="HM8" s="291"/>
      <c r="HN8" s="291"/>
      <c r="HO8" s="291"/>
      <c r="HP8" s="291"/>
      <c r="HQ8" s="291"/>
      <c r="HR8" s="291"/>
      <c r="HS8" s="291"/>
      <c r="HT8" s="291"/>
      <c r="HU8" s="291"/>
      <c r="HV8" s="291"/>
      <c r="HW8" s="291"/>
      <c r="HX8" s="291"/>
      <c r="HY8" s="291"/>
      <c r="HZ8" s="291"/>
      <c r="IA8" s="291"/>
      <c r="IB8" s="291"/>
      <c r="IC8" s="291"/>
      <c r="ID8" s="291"/>
      <c r="IE8" s="291"/>
      <c r="IF8" s="291"/>
      <c r="IG8" s="291"/>
      <c r="IH8" s="291"/>
      <c r="II8" s="291"/>
      <c r="IJ8" s="291"/>
      <c r="IK8" s="291"/>
      <c r="IL8" s="291"/>
      <c r="IM8" s="291"/>
      <c r="IN8" s="291"/>
      <c r="IO8" s="291"/>
      <c r="IP8" s="291"/>
      <c r="IQ8" s="291"/>
    </row>
    <row r="9" spans="1:251" ht="48" customHeight="1" x14ac:dyDescent="0.35">
      <c r="A9" s="725">
        <f t="shared" si="0"/>
        <v>7</v>
      </c>
      <c r="B9" s="726" t="s">
        <v>1206</v>
      </c>
      <c r="C9" s="727" t="s">
        <v>1369</v>
      </c>
      <c r="D9" s="727" t="s">
        <v>1370</v>
      </c>
      <c r="E9" s="728" t="s">
        <v>1207</v>
      </c>
      <c r="F9" s="726" t="s">
        <v>1359</v>
      </c>
      <c r="G9" s="736" t="s">
        <v>1371</v>
      </c>
      <c r="H9" s="771" t="s">
        <v>1372</v>
      </c>
      <c r="I9" s="730" t="s">
        <v>1208</v>
      </c>
      <c r="J9" s="730" t="s">
        <v>1208</v>
      </c>
    </row>
    <row r="10" spans="1:251" ht="42.75" customHeight="1" x14ac:dyDescent="0.35">
      <c r="A10" s="725">
        <f t="shared" si="0"/>
        <v>8</v>
      </c>
      <c r="B10" s="726" t="s">
        <v>1206</v>
      </c>
      <c r="C10" s="727" t="s">
        <v>1373</v>
      </c>
      <c r="D10" s="727" t="s">
        <v>1358</v>
      </c>
      <c r="E10" s="728" t="s">
        <v>1209</v>
      </c>
      <c r="F10" s="726" t="s">
        <v>1359</v>
      </c>
      <c r="G10" s="736" t="s">
        <v>1374</v>
      </c>
      <c r="H10" s="729" t="s">
        <v>1375</v>
      </c>
      <c r="I10" s="730" t="s">
        <v>1210</v>
      </c>
      <c r="J10" s="730" t="s">
        <v>1210</v>
      </c>
    </row>
    <row r="11" spans="1:251" ht="45" customHeight="1" x14ac:dyDescent="0.35">
      <c r="A11" s="725">
        <f t="shared" si="0"/>
        <v>9</v>
      </c>
      <c r="B11" s="726" t="s">
        <v>1206</v>
      </c>
      <c r="C11" s="727" t="s">
        <v>1373</v>
      </c>
      <c r="D11" s="727" t="s">
        <v>1370</v>
      </c>
      <c r="E11" s="728" t="s">
        <v>1211</v>
      </c>
      <c r="F11" s="726" t="s">
        <v>1359</v>
      </c>
      <c r="G11" s="736" t="s">
        <v>1376</v>
      </c>
      <c r="H11" s="729" t="s">
        <v>1377</v>
      </c>
      <c r="I11" s="730" t="s">
        <v>1212</v>
      </c>
      <c r="J11" s="730" t="s">
        <v>1212</v>
      </c>
    </row>
    <row r="12" spans="1:251" ht="44.25" customHeight="1" x14ac:dyDescent="0.35">
      <c r="A12" s="725">
        <f t="shared" si="0"/>
        <v>10</v>
      </c>
      <c r="B12" s="726" t="s">
        <v>1206</v>
      </c>
      <c r="C12" s="727" t="s">
        <v>1373</v>
      </c>
      <c r="D12" s="727" t="s">
        <v>1370</v>
      </c>
      <c r="E12" s="728" t="s">
        <v>1213</v>
      </c>
      <c r="F12" s="726" t="s">
        <v>1359</v>
      </c>
      <c r="G12" s="736" t="s">
        <v>1378</v>
      </c>
      <c r="H12" s="729" t="s">
        <v>1377</v>
      </c>
      <c r="I12" s="730" t="s">
        <v>1214</v>
      </c>
      <c r="J12" s="730" t="s">
        <v>1214</v>
      </c>
    </row>
    <row r="13" spans="1:251" ht="44.25" customHeight="1" x14ac:dyDescent="0.35">
      <c r="A13" s="725">
        <f t="shared" si="0"/>
        <v>11</v>
      </c>
      <c r="B13" s="726" t="s">
        <v>1206</v>
      </c>
      <c r="C13" s="727" t="s">
        <v>1379</v>
      </c>
      <c r="D13" s="727" t="s">
        <v>1370</v>
      </c>
      <c r="E13" s="728" t="s">
        <v>1215</v>
      </c>
      <c r="F13" s="726" t="s">
        <v>1380</v>
      </c>
      <c r="G13" s="736" t="s">
        <v>1381</v>
      </c>
      <c r="H13" s="729" t="s">
        <v>1382</v>
      </c>
      <c r="I13" s="731" t="s">
        <v>1383</v>
      </c>
      <c r="J13" s="731" t="s">
        <v>1216</v>
      </c>
    </row>
    <row r="14" spans="1:251" ht="44.25" customHeight="1" x14ac:dyDescent="0.35">
      <c r="A14" s="725">
        <f t="shared" si="0"/>
        <v>12</v>
      </c>
      <c r="B14" s="726" t="s">
        <v>1206</v>
      </c>
      <c r="C14" s="727" t="s">
        <v>1373</v>
      </c>
      <c r="D14" s="727" t="s">
        <v>1370</v>
      </c>
      <c r="E14" s="728" t="s">
        <v>1217</v>
      </c>
      <c r="F14" s="726" t="s">
        <v>1359</v>
      </c>
      <c r="G14" s="736" t="s">
        <v>1384</v>
      </c>
      <c r="H14" s="729" t="s">
        <v>1385</v>
      </c>
      <c r="I14" s="731" t="s">
        <v>1386</v>
      </c>
      <c r="J14" s="731" t="s">
        <v>1218</v>
      </c>
    </row>
    <row r="15" spans="1:251" ht="49.5" customHeight="1" x14ac:dyDescent="0.35">
      <c r="A15" s="725">
        <f t="shared" si="0"/>
        <v>13</v>
      </c>
      <c r="B15" s="726" t="s">
        <v>1219</v>
      </c>
      <c r="C15" s="727" t="s">
        <v>1373</v>
      </c>
      <c r="D15" s="732" t="s">
        <v>1370</v>
      </c>
      <c r="E15" s="733" t="s">
        <v>1220</v>
      </c>
      <c r="F15" s="726" t="s">
        <v>1359</v>
      </c>
      <c r="G15" s="732" t="s">
        <v>1387</v>
      </c>
      <c r="H15" s="729" t="s">
        <v>1388</v>
      </c>
      <c r="I15" s="735" t="s">
        <v>1221</v>
      </c>
      <c r="J15" s="735" t="s">
        <v>1221</v>
      </c>
    </row>
    <row r="16" spans="1:251" ht="43.5" customHeight="1" x14ac:dyDescent="0.35">
      <c r="A16" s="725">
        <f t="shared" si="0"/>
        <v>14</v>
      </c>
      <c r="B16" s="726" t="s">
        <v>1222</v>
      </c>
      <c r="C16" s="727" t="s">
        <v>1369</v>
      </c>
      <c r="D16" s="727" t="s">
        <v>1370</v>
      </c>
      <c r="E16" s="728" t="s">
        <v>1223</v>
      </c>
      <c r="F16" s="726" t="s">
        <v>1224</v>
      </c>
      <c r="G16" s="736" t="s">
        <v>1389</v>
      </c>
      <c r="H16" s="729" t="s">
        <v>1390</v>
      </c>
      <c r="I16" s="730" t="s">
        <v>1391</v>
      </c>
      <c r="J16" s="730" t="s">
        <v>1225</v>
      </c>
    </row>
    <row r="17" spans="1:10" ht="48" customHeight="1" x14ac:dyDescent="0.35">
      <c r="A17" s="725">
        <f t="shared" si="0"/>
        <v>15</v>
      </c>
      <c r="B17" s="726" t="s">
        <v>1222</v>
      </c>
      <c r="C17" s="736" t="s">
        <v>1195</v>
      </c>
      <c r="D17" s="727" t="s">
        <v>1370</v>
      </c>
      <c r="E17" s="737" t="s">
        <v>1226</v>
      </c>
      <c r="F17" s="738" t="s">
        <v>1359</v>
      </c>
      <c r="G17" s="736" t="s">
        <v>1392</v>
      </c>
      <c r="H17" s="729" t="s">
        <v>1393</v>
      </c>
      <c r="I17" s="738" t="s">
        <v>1227</v>
      </c>
      <c r="J17" s="738" t="s">
        <v>1227</v>
      </c>
    </row>
    <row r="18" spans="1:10" ht="42.75" customHeight="1" x14ac:dyDescent="0.35">
      <c r="A18" s="725">
        <f t="shared" si="0"/>
        <v>16</v>
      </c>
      <c r="B18" s="726" t="s">
        <v>1222</v>
      </c>
      <c r="C18" s="736" t="s">
        <v>1195</v>
      </c>
      <c r="D18" s="736" t="s">
        <v>1358</v>
      </c>
      <c r="E18" s="737" t="s">
        <v>1228</v>
      </c>
      <c r="F18" s="738" t="s">
        <v>1359</v>
      </c>
      <c r="G18" s="736" t="s">
        <v>1394</v>
      </c>
      <c r="H18" s="729" t="s">
        <v>1395</v>
      </c>
      <c r="I18" s="739" t="s">
        <v>1396</v>
      </c>
      <c r="J18" s="739" t="s">
        <v>1229</v>
      </c>
    </row>
    <row r="19" spans="1:10" ht="45" customHeight="1" x14ac:dyDescent="0.35">
      <c r="A19" s="725">
        <f t="shared" si="0"/>
        <v>17</v>
      </c>
      <c r="B19" s="726" t="s">
        <v>1222</v>
      </c>
      <c r="C19" s="732" t="s">
        <v>1369</v>
      </c>
      <c r="D19" s="732" t="s">
        <v>1358</v>
      </c>
      <c r="E19" s="733" t="s">
        <v>1230</v>
      </c>
      <c r="F19" s="740" t="s">
        <v>1359</v>
      </c>
      <c r="G19" s="736" t="s">
        <v>1394</v>
      </c>
      <c r="H19" s="729" t="s">
        <v>1397</v>
      </c>
      <c r="I19" s="738" t="s">
        <v>1227</v>
      </c>
      <c r="J19" s="738" t="s">
        <v>1227</v>
      </c>
    </row>
    <row r="20" spans="1:10" ht="45" customHeight="1" x14ac:dyDescent="0.35">
      <c r="A20" s="725">
        <f t="shared" si="0"/>
        <v>18</v>
      </c>
      <c r="B20" s="726" t="s">
        <v>1222</v>
      </c>
      <c r="C20" s="732" t="s">
        <v>1195</v>
      </c>
      <c r="D20" s="732" t="s">
        <v>1370</v>
      </c>
      <c r="E20" s="733" t="s">
        <v>1231</v>
      </c>
      <c r="F20" s="740" t="s">
        <v>1359</v>
      </c>
      <c r="G20" s="732" t="s">
        <v>1398</v>
      </c>
      <c r="H20" s="729" t="s">
        <v>1399</v>
      </c>
      <c r="I20" s="735" t="s">
        <v>1400</v>
      </c>
      <c r="J20" s="735" t="s">
        <v>1232</v>
      </c>
    </row>
    <row r="21" spans="1:10" ht="35.25" customHeight="1" x14ac:dyDescent="0.35">
      <c r="A21" s="725">
        <f t="shared" si="0"/>
        <v>19</v>
      </c>
      <c r="B21" s="726" t="s">
        <v>1222</v>
      </c>
      <c r="C21" s="732" t="s">
        <v>1195</v>
      </c>
      <c r="D21" s="732" t="s">
        <v>1370</v>
      </c>
      <c r="E21" s="733" t="s">
        <v>1233</v>
      </c>
      <c r="F21" s="740" t="s">
        <v>1359</v>
      </c>
      <c r="G21" s="736" t="s">
        <v>1384</v>
      </c>
      <c r="H21" s="729" t="s">
        <v>1401</v>
      </c>
      <c r="I21" s="735" t="s">
        <v>1402</v>
      </c>
      <c r="J21" s="735" t="s">
        <v>1234</v>
      </c>
    </row>
    <row r="22" spans="1:10" ht="42.75" customHeight="1" x14ac:dyDescent="0.35">
      <c r="A22" s="725">
        <f t="shared" si="0"/>
        <v>20</v>
      </c>
      <c r="B22" s="726" t="s">
        <v>1222</v>
      </c>
      <c r="C22" s="732" t="s">
        <v>1373</v>
      </c>
      <c r="D22" s="732" t="s">
        <v>1370</v>
      </c>
      <c r="E22" s="733" t="s">
        <v>1223</v>
      </c>
      <c r="F22" s="740" t="s">
        <v>1359</v>
      </c>
      <c r="G22" s="732" t="s">
        <v>1403</v>
      </c>
      <c r="H22" s="729" t="s">
        <v>1404</v>
      </c>
      <c r="I22" s="735" t="s">
        <v>1405</v>
      </c>
      <c r="J22" s="735" t="s">
        <v>1235</v>
      </c>
    </row>
    <row r="23" spans="1:10" ht="45" customHeight="1" x14ac:dyDescent="0.35">
      <c r="A23" s="725">
        <f t="shared" si="0"/>
        <v>21</v>
      </c>
      <c r="B23" s="726" t="s">
        <v>1222</v>
      </c>
      <c r="C23" s="732" t="s">
        <v>1373</v>
      </c>
      <c r="D23" s="732" t="s">
        <v>1370</v>
      </c>
      <c r="E23" s="733" t="s">
        <v>1236</v>
      </c>
      <c r="F23" s="740" t="s">
        <v>1359</v>
      </c>
      <c r="G23" s="732" t="s">
        <v>1403</v>
      </c>
      <c r="H23" s="729" t="s">
        <v>1406</v>
      </c>
      <c r="I23" s="735" t="s">
        <v>1237</v>
      </c>
      <c r="J23" s="735" t="s">
        <v>1237</v>
      </c>
    </row>
    <row r="24" spans="1:10" ht="30.75" customHeight="1" x14ac:dyDescent="0.35">
      <c r="A24" s="725">
        <f t="shared" si="0"/>
        <v>22</v>
      </c>
      <c r="B24" s="741">
        <v>42691</v>
      </c>
      <c r="C24" s="732" t="s">
        <v>1369</v>
      </c>
      <c r="D24" s="732" t="s">
        <v>1370</v>
      </c>
      <c r="E24" s="733" t="s">
        <v>1207</v>
      </c>
      <c r="F24" s="740" t="s">
        <v>1359</v>
      </c>
      <c r="G24" s="732" t="s">
        <v>1407</v>
      </c>
      <c r="H24" s="734" t="s">
        <v>1408</v>
      </c>
      <c r="I24" s="735" t="s">
        <v>1238</v>
      </c>
      <c r="J24" s="735" t="s">
        <v>1238</v>
      </c>
    </row>
    <row r="25" spans="1:10" ht="45.75" customHeight="1" x14ac:dyDescent="0.35">
      <c r="A25" s="725">
        <f t="shared" si="0"/>
        <v>23</v>
      </c>
      <c r="B25" s="741">
        <v>42692</v>
      </c>
      <c r="C25" s="732" t="s">
        <v>1373</v>
      </c>
      <c r="D25" s="732" t="s">
        <v>1370</v>
      </c>
      <c r="E25" s="733" t="s">
        <v>1209</v>
      </c>
      <c r="F25" s="740" t="s">
        <v>1359</v>
      </c>
      <c r="G25" s="732" t="s">
        <v>1409</v>
      </c>
      <c r="H25" s="734" t="s">
        <v>1410</v>
      </c>
      <c r="I25" s="735" t="s">
        <v>1239</v>
      </c>
      <c r="J25" s="735" t="s">
        <v>1239</v>
      </c>
    </row>
    <row r="26" spans="1:10" ht="45" customHeight="1" x14ac:dyDescent="0.35">
      <c r="A26" s="725">
        <f t="shared" si="0"/>
        <v>24</v>
      </c>
      <c r="B26" s="741">
        <v>42692</v>
      </c>
      <c r="C26" s="732" t="s">
        <v>1195</v>
      </c>
      <c r="D26" s="732" t="s">
        <v>1358</v>
      </c>
      <c r="E26" s="733" t="s">
        <v>1240</v>
      </c>
      <c r="F26" s="740" t="s">
        <v>1359</v>
      </c>
      <c r="G26" s="732" t="s">
        <v>1409</v>
      </c>
      <c r="H26" s="734" t="s">
        <v>1411</v>
      </c>
      <c r="I26" s="740" t="s">
        <v>1241</v>
      </c>
      <c r="J26" s="740" t="s">
        <v>1241</v>
      </c>
    </row>
    <row r="27" spans="1:10" ht="45" customHeight="1" x14ac:dyDescent="0.35">
      <c r="A27" s="725">
        <f t="shared" si="0"/>
        <v>25</v>
      </c>
      <c r="B27" s="741">
        <v>42692</v>
      </c>
      <c r="C27" s="732" t="s">
        <v>1373</v>
      </c>
      <c r="D27" s="732" t="s">
        <v>1370</v>
      </c>
      <c r="E27" s="733" t="s">
        <v>1242</v>
      </c>
      <c r="F27" s="740" t="s">
        <v>1359</v>
      </c>
      <c r="G27" s="732" t="s">
        <v>1412</v>
      </c>
      <c r="H27" s="734" t="s">
        <v>1413</v>
      </c>
      <c r="I27" s="735" t="s">
        <v>1414</v>
      </c>
      <c r="J27" s="735" t="s">
        <v>1243</v>
      </c>
    </row>
    <row r="28" spans="1:10" ht="44.25" customHeight="1" x14ac:dyDescent="0.35">
      <c r="A28" s="725">
        <f t="shared" si="0"/>
        <v>26</v>
      </c>
      <c r="B28" s="741">
        <v>42692</v>
      </c>
      <c r="C28" s="732" t="s">
        <v>1369</v>
      </c>
      <c r="D28" s="732" t="s">
        <v>1358</v>
      </c>
      <c r="E28" s="733" t="s">
        <v>1244</v>
      </c>
      <c r="F28" s="740" t="s">
        <v>1359</v>
      </c>
      <c r="G28" s="732" t="s">
        <v>1415</v>
      </c>
      <c r="H28" s="734" t="s">
        <v>1416</v>
      </c>
      <c r="I28" s="735" t="s">
        <v>1245</v>
      </c>
      <c r="J28" s="735" t="s">
        <v>1245</v>
      </c>
    </row>
    <row r="29" spans="1:10" ht="45.75" customHeight="1" x14ac:dyDescent="0.35">
      <c r="A29" s="725">
        <f t="shared" si="0"/>
        <v>27</v>
      </c>
      <c r="B29" s="741">
        <v>42692</v>
      </c>
      <c r="C29" s="732" t="s">
        <v>1369</v>
      </c>
      <c r="D29" s="732" t="s">
        <v>1370</v>
      </c>
      <c r="E29" s="733" t="s">
        <v>1246</v>
      </c>
      <c r="F29" s="740" t="s">
        <v>1359</v>
      </c>
      <c r="G29" s="732" t="s">
        <v>1417</v>
      </c>
      <c r="H29" s="734" t="s">
        <v>1418</v>
      </c>
      <c r="I29" s="735" t="s">
        <v>1419</v>
      </c>
      <c r="J29" s="735" t="s">
        <v>1247</v>
      </c>
    </row>
    <row r="30" spans="1:10" ht="45.75" customHeight="1" x14ac:dyDescent="0.35">
      <c r="A30" s="725">
        <f t="shared" si="0"/>
        <v>28</v>
      </c>
      <c r="B30" s="741">
        <v>42692</v>
      </c>
      <c r="C30" s="732" t="s">
        <v>1373</v>
      </c>
      <c r="D30" s="732" t="s">
        <v>1370</v>
      </c>
      <c r="E30" s="733" t="s">
        <v>1248</v>
      </c>
      <c r="F30" s="740" t="s">
        <v>1359</v>
      </c>
      <c r="G30" s="732" t="s">
        <v>1420</v>
      </c>
      <c r="H30" s="734" t="s">
        <v>1421</v>
      </c>
      <c r="I30" s="735" t="s">
        <v>1422</v>
      </c>
      <c r="J30" s="735" t="s">
        <v>1249</v>
      </c>
    </row>
    <row r="31" spans="1:10" ht="39" customHeight="1" x14ac:dyDescent="0.35">
      <c r="A31" s="725">
        <f t="shared" si="0"/>
        <v>29</v>
      </c>
      <c r="B31" s="742">
        <v>42692</v>
      </c>
      <c r="C31" s="732" t="s">
        <v>1373</v>
      </c>
      <c r="D31" s="732" t="s">
        <v>1370</v>
      </c>
      <c r="E31" s="733" t="s">
        <v>1250</v>
      </c>
      <c r="F31" s="740" t="s">
        <v>1359</v>
      </c>
      <c r="G31" s="732" t="s">
        <v>1423</v>
      </c>
      <c r="H31" s="734" t="s">
        <v>1424</v>
      </c>
      <c r="I31" s="743" t="s">
        <v>1251</v>
      </c>
      <c r="J31" s="743" t="s">
        <v>1251</v>
      </c>
    </row>
    <row r="32" spans="1:10" ht="39" customHeight="1" x14ac:dyDescent="0.35">
      <c r="A32" s="725">
        <f t="shared" si="0"/>
        <v>30</v>
      </c>
      <c r="B32" s="742">
        <v>42692</v>
      </c>
      <c r="C32" s="732" t="s">
        <v>1373</v>
      </c>
      <c r="D32" s="732" t="s">
        <v>1370</v>
      </c>
      <c r="E32" s="733" t="s">
        <v>1242</v>
      </c>
      <c r="F32" s="740" t="s">
        <v>1359</v>
      </c>
      <c r="G32" s="733" t="s">
        <v>1425</v>
      </c>
      <c r="H32" s="734" t="s">
        <v>1424</v>
      </c>
      <c r="I32" s="743" t="s">
        <v>1426</v>
      </c>
      <c r="J32" s="743" t="s">
        <v>1252</v>
      </c>
    </row>
    <row r="33" spans="1:10" ht="39" customHeight="1" x14ac:dyDescent="0.35">
      <c r="A33" s="725">
        <f t="shared" si="0"/>
        <v>31</v>
      </c>
      <c r="B33" s="742">
        <v>42692</v>
      </c>
      <c r="C33" s="732" t="s">
        <v>1379</v>
      </c>
      <c r="D33" s="732" t="s">
        <v>1358</v>
      </c>
      <c r="E33" s="733" t="s">
        <v>1253</v>
      </c>
      <c r="F33" s="740" t="s">
        <v>1359</v>
      </c>
      <c r="G33" s="733" t="s">
        <v>1427</v>
      </c>
      <c r="H33" s="734" t="s">
        <v>1428</v>
      </c>
      <c r="I33" s="743" t="s">
        <v>1254</v>
      </c>
      <c r="J33" s="743" t="s">
        <v>1254</v>
      </c>
    </row>
    <row r="34" spans="1:10" ht="39" customHeight="1" x14ac:dyDescent="0.35">
      <c r="A34" s="725">
        <f t="shared" si="0"/>
        <v>32</v>
      </c>
      <c r="B34" s="742">
        <v>42692</v>
      </c>
      <c r="C34" s="732" t="s">
        <v>1373</v>
      </c>
      <c r="D34" s="732" t="s">
        <v>1370</v>
      </c>
      <c r="E34" s="733" t="s">
        <v>1220</v>
      </c>
      <c r="F34" s="740" t="s">
        <v>1359</v>
      </c>
      <c r="G34" s="733" t="s">
        <v>1429</v>
      </c>
      <c r="H34" s="734" t="s">
        <v>1430</v>
      </c>
      <c r="I34" s="743" t="s">
        <v>1255</v>
      </c>
      <c r="J34" s="743" t="s">
        <v>1255</v>
      </c>
    </row>
    <row r="35" spans="1:10" ht="39" customHeight="1" x14ac:dyDescent="0.35">
      <c r="A35" s="725">
        <f t="shared" si="0"/>
        <v>33</v>
      </c>
      <c r="B35" s="742">
        <v>42692</v>
      </c>
      <c r="C35" s="732" t="s">
        <v>1373</v>
      </c>
      <c r="D35" s="732" t="s">
        <v>1370</v>
      </c>
      <c r="E35" s="733" t="s">
        <v>1213</v>
      </c>
      <c r="F35" s="740" t="s">
        <v>1359</v>
      </c>
      <c r="G35" s="733" t="s">
        <v>1431</v>
      </c>
      <c r="H35" s="734" t="s">
        <v>1430</v>
      </c>
      <c r="I35" s="743" t="s">
        <v>1256</v>
      </c>
      <c r="J35" s="743" t="s">
        <v>1256</v>
      </c>
    </row>
    <row r="36" spans="1:10" ht="39" customHeight="1" x14ac:dyDescent="0.35">
      <c r="A36" s="725">
        <f t="shared" si="0"/>
        <v>34</v>
      </c>
      <c r="B36" s="742">
        <v>42692</v>
      </c>
      <c r="C36" s="732" t="s">
        <v>1195</v>
      </c>
      <c r="D36" s="732" t="s">
        <v>1358</v>
      </c>
      <c r="E36" s="733" t="s">
        <v>1257</v>
      </c>
      <c r="F36" s="740" t="s">
        <v>1359</v>
      </c>
      <c r="G36" s="732" t="s">
        <v>1409</v>
      </c>
      <c r="H36" s="772" t="s">
        <v>1432</v>
      </c>
      <c r="I36" s="743" t="s">
        <v>1258</v>
      </c>
      <c r="J36" s="743" t="s">
        <v>1258</v>
      </c>
    </row>
    <row r="37" spans="1:10" ht="30.75" customHeight="1" x14ac:dyDescent="0.35">
      <c r="A37" s="725">
        <f t="shared" si="0"/>
        <v>35</v>
      </c>
      <c r="B37" s="742">
        <v>42692</v>
      </c>
      <c r="C37" s="732" t="s">
        <v>1373</v>
      </c>
      <c r="D37" s="732" t="s">
        <v>1358</v>
      </c>
      <c r="E37" s="733" t="s">
        <v>1259</v>
      </c>
      <c r="F37" s="740" t="s">
        <v>1359</v>
      </c>
      <c r="G37" s="733" t="s">
        <v>1427</v>
      </c>
      <c r="H37" s="734" t="s">
        <v>1433</v>
      </c>
      <c r="I37" s="743" t="s">
        <v>1260</v>
      </c>
      <c r="J37" s="743" t="s">
        <v>1260</v>
      </c>
    </row>
    <row r="38" spans="1:10" ht="24.75" customHeight="1" x14ac:dyDescent="0.35">
      <c r="A38" s="725">
        <f t="shared" si="0"/>
        <v>36</v>
      </c>
      <c r="B38" s="742">
        <v>42692</v>
      </c>
      <c r="C38" s="732" t="s">
        <v>1379</v>
      </c>
      <c r="D38" s="732" t="s">
        <v>1370</v>
      </c>
      <c r="E38" s="733" t="s">
        <v>1261</v>
      </c>
      <c r="F38" s="740" t="s">
        <v>1359</v>
      </c>
      <c r="G38" s="733" t="s">
        <v>1434</v>
      </c>
      <c r="H38" s="734" t="s">
        <v>1435</v>
      </c>
      <c r="I38" s="743" t="s">
        <v>1262</v>
      </c>
      <c r="J38" s="743" t="s">
        <v>1262</v>
      </c>
    </row>
    <row r="39" spans="1:10" ht="30" customHeight="1" x14ac:dyDescent="0.35">
      <c r="A39" s="725">
        <f t="shared" si="0"/>
        <v>37</v>
      </c>
      <c r="B39" s="742">
        <v>42692</v>
      </c>
      <c r="C39" s="732" t="s">
        <v>1195</v>
      </c>
      <c r="D39" s="732" t="s">
        <v>1358</v>
      </c>
      <c r="E39" s="733" t="s">
        <v>1263</v>
      </c>
      <c r="F39" s="740" t="s">
        <v>1359</v>
      </c>
      <c r="G39" s="733" t="s">
        <v>1427</v>
      </c>
      <c r="H39" s="734" t="s">
        <v>1428</v>
      </c>
      <c r="I39" s="743" t="s">
        <v>1264</v>
      </c>
      <c r="J39" s="743" t="s">
        <v>1264</v>
      </c>
    </row>
    <row r="40" spans="1:10" ht="24.75" customHeight="1" x14ac:dyDescent="0.35">
      <c r="A40" s="725">
        <f t="shared" si="0"/>
        <v>38</v>
      </c>
      <c r="B40" s="742">
        <v>42692</v>
      </c>
      <c r="C40" s="732" t="s">
        <v>1195</v>
      </c>
      <c r="D40" s="732" t="s">
        <v>1358</v>
      </c>
      <c r="E40" s="733" t="s">
        <v>1265</v>
      </c>
      <c r="F40" s="740" t="s">
        <v>1359</v>
      </c>
      <c r="G40" s="733" t="s">
        <v>1427</v>
      </c>
      <c r="H40" s="734" t="s">
        <v>1428</v>
      </c>
      <c r="I40" s="743" t="s">
        <v>1266</v>
      </c>
      <c r="J40" s="743" t="s">
        <v>1266</v>
      </c>
    </row>
    <row r="41" spans="1:10" ht="30" customHeight="1" x14ac:dyDescent="0.35">
      <c r="A41" s="725">
        <f t="shared" si="0"/>
        <v>39</v>
      </c>
      <c r="B41" s="742">
        <v>42694</v>
      </c>
      <c r="C41" s="732" t="s">
        <v>1195</v>
      </c>
      <c r="D41" s="732" t="s">
        <v>1358</v>
      </c>
      <c r="E41" s="733" t="s">
        <v>1267</v>
      </c>
      <c r="F41" s="740" t="s">
        <v>1359</v>
      </c>
      <c r="G41" s="733" t="s">
        <v>1436</v>
      </c>
      <c r="H41" s="734" t="s">
        <v>1435</v>
      </c>
      <c r="I41" s="743" t="s">
        <v>1269</v>
      </c>
      <c r="J41" s="743" t="s">
        <v>1269</v>
      </c>
    </row>
    <row r="42" spans="1:10" ht="40.5" customHeight="1" x14ac:dyDescent="0.35">
      <c r="A42" s="725">
        <f t="shared" si="0"/>
        <v>40</v>
      </c>
      <c r="B42" s="742">
        <v>42694</v>
      </c>
      <c r="C42" s="732" t="s">
        <v>1373</v>
      </c>
      <c r="D42" s="732" t="s">
        <v>1358</v>
      </c>
      <c r="E42" s="733" t="s">
        <v>1270</v>
      </c>
      <c r="F42" s="740" t="s">
        <v>1359</v>
      </c>
      <c r="G42" s="733" t="s">
        <v>1268</v>
      </c>
      <c r="H42" s="734" t="s">
        <v>1424</v>
      </c>
      <c r="I42" s="743" t="s">
        <v>1271</v>
      </c>
      <c r="J42" s="743" t="s">
        <v>1271</v>
      </c>
    </row>
    <row r="43" spans="1:10" ht="36" customHeight="1" x14ac:dyDescent="0.35">
      <c r="A43" s="725">
        <f t="shared" si="0"/>
        <v>41</v>
      </c>
      <c r="B43" s="742">
        <v>42695</v>
      </c>
      <c r="C43" s="293" t="s">
        <v>1379</v>
      </c>
      <c r="D43" s="732" t="s">
        <v>1370</v>
      </c>
      <c r="E43" s="733" t="s">
        <v>1437</v>
      </c>
      <c r="F43" s="740" t="s">
        <v>1359</v>
      </c>
      <c r="G43" s="733" t="s">
        <v>1438</v>
      </c>
      <c r="H43" s="734" t="s">
        <v>1439</v>
      </c>
      <c r="I43" s="744" t="s">
        <v>1272</v>
      </c>
      <c r="J43" s="744" t="s">
        <v>1272</v>
      </c>
    </row>
    <row r="44" spans="1:10" ht="40.5" customHeight="1" x14ac:dyDescent="0.35">
      <c r="A44" s="725">
        <f t="shared" si="0"/>
        <v>42</v>
      </c>
      <c r="B44" s="745">
        <v>42695</v>
      </c>
      <c r="C44" s="746" t="s">
        <v>1369</v>
      </c>
      <c r="D44" s="746" t="s">
        <v>1358</v>
      </c>
      <c r="E44" s="747" t="s">
        <v>1230</v>
      </c>
      <c r="F44" s="773" t="s">
        <v>1359</v>
      </c>
      <c r="G44" s="747" t="s">
        <v>1273</v>
      </c>
      <c r="H44" s="734" t="s">
        <v>1424</v>
      </c>
      <c r="I44" s="743"/>
      <c r="J44" s="743" t="s">
        <v>1227</v>
      </c>
    </row>
    <row r="45" spans="1:10" ht="30.75" customHeight="1" x14ac:dyDescent="0.35">
      <c r="A45" s="725">
        <f t="shared" si="0"/>
        <v>43</v>
      </c>
      <c r="B45" s="745">
        <v>42695</v>
      </c>
      <c r="C45" s="746" t="s">
        <v>1379</v>
      </c>
      <c r="D45" s="746" t="s">
        <v>1358</v>
      </c>
      <c r="E45" s="747" t="s">
        <v>1274</v>
      </c>
      <c r="F45" s="773" t="s">
        <v>1359</v>
      </c>
      <c r="G45" s="747" t="s">
        <v>1440</v>
      </c>
      <c r="H45" s="734" t="s">
        <v>1424</v>
      </c>
      <c r="I45" s="743" t="s">
        <v>1275</v>
      </c>
      <c r="J45" s="743" t="s">
        <v>1275</v>
      </c>
    </row>
    <row r="46" spans="1:10" ht="30.75" customHeight="1" x14ac:dyDescent="0.35">
      <c r="A46" s="725">
        <f t="shared" si="0"/>
        <v>44</v>
      </c>
      <c r="B46" s="745">
        <v>42697</v>
      </c>
      <c r="C46" s="746" t="s">
        <v>1276</v>
      </c>
      <c r="D46" s="746" t="s">
        <v>1370</v>
      </c>
      <c r="E46" s="747" t="s">
        <v>1277</v>
      </c>
      <c r="F46" s="773" t="s">
        <v>1359</v>
      </c>
      <c r="G46" s="747" t="s">
        <v>1441</v>
      </c>
      <c r="H46" s="748" t="s">
        <v>1442</v>
      </c>
      <c r="I46" s="749" t="s">
        <v>1443</v>
      </c>
      <c r="J46" s="749" t="s">
        <v>1278</v>
      </c>
    </row>
    <row r="47" spans="1:10" ht="54.75" customHeight="1" x14ac:dyDescent="0.35">
      <c r="A47" s="725">
        <f t="shared" si="0"/>
        <v>45</v>
      </c>
      <c r="B47" s="745">
        <v>42699</v>
      </c>
      <c r="C47" s="746" t="s">
        <v>1357</v>
      </c>
      <c r="D47" s="746" t="s">
        <v>1358</v>
      </c>
      <c r="E47" s="747" t="s">
        <v>1279</v>
      </c>
      <c r="F47" s="773" t="s">
        <v>1359</v>
      </c>
      <c r="G47" s="732" t="s">
        <v>1444</v>
      </c>
      <c r="H47" s="748" t="s">
        <v>1445</v>
      </c>
      <c r="I47" s="743" t="s">
        <v>1280</v>
      </c>
      <c r="J47" s="743" t="s">
        <v>1280</v>
      </c>
    </row>
    <row r="48" spans="1:10" ht="15" customHeight="1" x14ac:dyDescent="0.35">
      <c r="A48" s="725">
        <f t="shared" si="0"/>
        <v>46</v>
      </c>
      <c r="B48" s="726" t="s">
        <v>1281</v>
      </c>
      <c r="C48" s="732" t="s">
        <v>1373</v>
      </c>
      <c r="D48" s="732" t="s">
        <v>1370</v>
      </c>
      <c r="E48" s="733" t="s">
        <v>1223</v>
      </c>
      <c r="F48" s="740" t="s">
        <v>1359</v>
      </c>
      <c r="G48" s="732" t="s">
        <v>1446</v>
      </c>
      <c r="H48" s="734" t="s">
        <v>1447</v>
      </c>
      <c r="I48" s="735" t="s">
        <v>1448</v>
      </c>
      <c r="J48" s="735" t="s">
        <v>1282</v>
      </c>
    </row>
  </sheetData>
  <mergeCells count="1">
    <mergeCell ref="A1:J1"/>
  </mergeCells>
  <hyperlinks>
    <hyperlink ref="J27" r:id="rId1" xr:uid="{00000000-0004-0000-0A00-000000000000}"/>
    <hyperlink ref="J9" r:id="rId2" xr:uid="{00000000-0004-0000-0A00-000001000000}"/>
    <hyperlink ref="J10" r:id="rId3" xr:uid="{00000000-0004-0000-0A00-000002000000}"/>
    <hyperlink ref="J11" r:id="rId4" xr:uid="{00000000-0004-0000-0A00-000003000000}"/>
    <hyperlink ref="J12" r:id="rId5" xr:uid="{00000000-0004-0000-0A00-000004000000}"/>
    <hyperlink ref="J13" r:id="rId6" xr:uid="{00000000-0004-0000-0A00-000005000000}"/>
    <hyperlink ref="J29" r:id="rId7" xr:uid="{00000000-0004-0000-0A00-000006000000}"/>
    <hyperlink ref="J28" r:id="rId8" xr:uid="{00000000-0004-0000-0A00-000007000000}"/>
    <hyperlink ref="J25" r:id="rId9" xr:uid="{00000000-0004-0000-0A00-000008000000}"/>
    <hyperlink ref="J43" r:id="rId10" xr:uid="{00000000-0004-0000-0A00-000009000000}"/>
    <hyperlink ref="J14" r:id="rId11" xr:uid="{00000000-0004-0000-0A00-00000A000000}"/>
    <hyperlink ref="J15" r:id="rId12" xr:uid="{00000000-0004-0000-0A00-00000B000000}"/>
    <hyperlink ref="J16" r:id="rId13" xr:uid="{00000000-0004-0000-0A00-00000C000000}"/>
    <hyperlink ref="J18" r:id="rId14" xr:uid="{00000000-0004-0000-0A00-00000D000000}"/>
    <hyperlink ref="J20" r:id="rId15" xr:uid="{00000000-0004-0000-0A00-00000E000000}"/>
    <hyperlink ref="J21" r:id="rId16" xr:uid="{00000000-0004-0000-0A00-00000F000000}"/>
    <hyperlink ref="J22" r:id="rId17" xr:uid="{00000000-0004-0000-0A00-000010000000}"/>
    <hyperlink ref="J23" r:id="rId18" xr:uid="{00000000-0004-0000-0A00-000011000000}"/>
    <hyperlink ref="J24" r:id="rId19" xr:uid="{00000000-0004-0000-0A00-000012000000}"/>
    <hyperlink ref="J30" r:id="rId20" xr:uid="{00000000-0004-0000-0A00-000013000000}"/>
    <hyperlink ref="J48" r:id="rId21" xr:uid="{00000000-0004-0000-0A00-000014000000}"/>
    <hyperlink ref="J8" r:id="rId22" xr:uid="{00000000-0004-0000-0A00-000015000000}"/>
    <hyperlink ref="J7" r:id="rId23" xr:uid="{00000000-0004-0000-0A00-000016000000}"/>
    <hyperlink ref="J46" r:id="rId24" xr:uid="{00000000-0004-0000-0A00-000017000000}"/>
    <hyperlink ref="I27" r:id="rId25" display="http://www.eltiempo.com.ec/noticias/ecuador/4/402656/ecuador-participa-en-cumbre-climatica" xr:uid="{00000000-0004-0000-0A00-000018000000}"/>
    <hyperlink ref="I9" r:id="rId26" xr:uid="{00000000-0004-0000-0A00-000019000000}"/>
    <hyperlink ref="I10" r:id="rId27" xr:uid="{00000000-0004-0000-0A00-00001A000000}"/>
    <hyperlink ref="I11" r:id="rId28" xr:uid="{00000000-0004-0000-0A00-00001B000000}"/>
    <hyperlink ref="I12" r:id="rId29" xr:uid="{00000000-0004-0000-0A00-00001C000000}"/>
    <hyperlink ref="I13" r:id="rId30" display="http://monitoreomedios.diuniversalcheck.net/Noticias/ConsultaNoticia?Id=1042817&amp;Usuario=1751&amp;Key=goqGk3/zH+dci0KMVBUlfdN+mC/5CgFLR2pDLTGxa9U=" xr:uid="{00000000-0004-0000-0A00-00001D000000}"/>
    <hyperlink ref="I29" r:id="rId31" display="http://www.eltelegrafo.com.ec/noticias/sociedad/4/las-comunas-campesinas-se-blindan-ante-el-cambio-climatico" xr:uid="{00000000-0004-0000-0A00-00001E000000}"/>
    <hyperlink ref="I28" r:id="rId32" xr:uid="{00000000-0004-0000-0A00-00001F000000}"/>
    <hyperlink ref="I25" r:id="rId33" xr:uid="{00000000-0004-0000-0A00-000020000000}"/>
    <hyperlink ref="I43" r:id="rId34" xr:uid="{00000000-0004-0000-0A00-000021000000}"/>
    <hyperlink ref="I14" r:id="rId35" display="http://www.andes.info.ec/es/noticias/ecuador-presenta-marruecos-proyectos-adaptacion-cambio-climatico.html" xr:uid="{00000000-0004-0000-0A00-000022000000}"/>
    <hyperlink ref="I15" r:id="rId36" xr:uid="{00000000-0004-0000-0A00-000023000000}"/>
    <hyperlink ref="I16" r:id="rId37" display="http://monitoreomedios.diuniversalcheck.net/Noticias/ConsultaNoticia?Id=1043868&amp;Usuario=1769&amp;Key=Eh9bU5GLLmia4vsCNRu1cik1gx3mg4SAhXekLHUrkcQ=" xr:uid="{00000000-0004-0000-0A00-000024000000}"/>
    <hyperlink ref="I18" r:id="rId38" display="http://www.radiosucumbios.org.ec/index.php/component/content/article/13-noticias/noticias-ecuador/1205-proyectos-de-adaptacion-al-cambio-climatico-seran-expuestos-en-la-cop22" xr:uid="{00000000-0004-0000-0A00-000025000000}"/>
    <hyperlink ref="I20" r:id="rId39" display="http://monitoreomedios.diuniversalcheck.net/Noticias/ConsultaNoticia?Id=1044359&amp;Usuario=1769&amp;Key=JcQVQwhXIm8B5O8Ten2NlbomcuPNwIT4GFxyBmeAW1I=" xr:uid="{00000000-0004-0000-0A00-000026000000}"/>
    <hyperlink ref="I21" r:id="rId40" display="http://monitoreomedios.diuniversalcheck.net/Noticias/ConsultaNoticia?Id=1043572&amp;Usuario=1769&amp;Key=SHLn7dSVfxJ5++VdSiSP6ILJhq9POOxddwnsXw/nXkA=" xr:uid="{00000000-0004-0000-0A00-000027000000}"/>
    <hyperlink ref="I22" r:id="rId41" display="http://www.eltelegrafo.com.ec/noticias/sociedad/4/medidas-que-ecuador-implementa-para-enfrentar-el-cambio-climatico-son-expuestas-durante-el-cop22" xr:uid="{00000000-0004-0000-0A00-000028000000}"/>
    <hyperlink ref="I23" r:id="rId42" xr:uid="{00000000-0004-0000-0A00-000029000000}"/>
    <hyperlink ref="I24" r:id="rId43" xr:uid="{00000000-0004-0000-0A00-00002A000000}"/>
    <hyperlink ref="I30" r:id="rId44" display="http://www.ecuadorinmediato.com/index.php?module=Noticias&amp;func=news_user_view&amp;id=2818811483" xr:uid="{00000000-0004-0000-0A00-00002B000000}"/>
    <hyperlink ref="I48" r:id="rId45" display="http://www.eltelegrafo.com.ec/noticias/economia/8/los-campesinos-actuan-frente-al-cambio-climatico " xr:uid="{00000000-0004-0000-0A00-00002C000000}"/>
    <hyperlink ref="I8" r:id="rId46" xr:uid="{00000000-0004-0000-0A00-00002D000000}"/>
    <hyperlink ref="I7" r:id="rId47" xr:uid="{00000000-0004-0000-0A00-00002E000000}"/>
    <hyperlink ref="I46" r:id="rId48" display="http://www.ecuadorinmediato.com/index.php?module=Noticias&amp;func=news_user_view&amp;id=2818791958" xr:uid="{00000000-0004-0000-0A00-00002F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1:E29"/>
  <sheetViews>
    <sheetView topLeftCell="A25" zoomScale="55" zoomScaleNormal="55" workbookViewId="0">
      <selection activeCell="B1" sqref="B1"/>
    </sheetView>
  </sheetViews>
  <sheetFormatPr defaultColWidth="9.1796875" defaultRowHeight="14" x14ac:dyDescent="0.3"/>
  <cols>
    <col min="1" max="1" width="1.26953125" style="13" customWidth="1"/>
    <col min="2" max="2" width="2" style="13" customWidth="1"/>
    <col min="3" max="3" width="43" style="13" customWidth="1"/>
    <col min="4" max="4" width="188.26953125" style="13" customWidth="1"/>
    <col min="5" max="5" width="2.453125" style="13" customWidth="1"/>
    <col min="6" max="6" width="1.453125" style="13" customWidth="1"/>
    <col min="7" max="16384" width="9.1796875" style="13"/>
  </cols>
  <sheetData>
    <row r="1" spans="2:5" ht="14.5" thickBot="1" x14ac:dyDescent="0.35"/>
    <row r="2" spans="2:5" ht="14.5" thickBot="1" x14ac:dyDescent="0.35">
      <c r="B2" s="72"/>
      <c r="C2" s="41"/>
      <c r="D2" s="41"/>
      <c r="E2" s="42"/>
    </row>
    <row r="3" spans="2:5" ht="14.5" thickBot="1" x14ac:dyDescent="0.35">
      <c r="B3" s="73"/>
      <c r="C3" s="1195" t="s">
        <v>1283</v>
      </c>
      <c r="D3" s="1196"/>
      <c r="E3" s="339"/>
    </row>
    <row r="4" spans="2:5" x14ac:dyDescent="0.3">
      <c r="B4" s="73"/>
      <c r="C4" s="340"/>
      <c r="D4" s="340"/>
      <c r="E4" s="339"/>
    </row>
    <row r="5" spans="2:5" ht="14.5" thickBot="1" x14ac:dyDescent="0.35">
      <c r="B5" s="73"/>
      <c r="C5" s="341" t="s">
        <v>1284</v>
      </c>
      <c r="D5" s="340"/>
      <c r="E5" s="339"/>
    </row>
    <row r="6" spans="2:5" ht="14.5" thickBot="1" x14ac:dyDescent="0.35">
      <c r="B6" s="73"/>
      <c r="C6" s="342" t="s">
        <v>1285</v>
      </c>
      <c r="D6" s="343" t="s">
        <v>1286</v>
      </c>
      <c r="E6" s="339"/>
    </row>
    <row r="7" spans="2:5" ht="350.5" thickBot="1" x14ac:dyDescent="0.35">
      <c r="B7" s="73"/>
      <c r="C7" s="344" t="s">
        <v>1287</v>
      </c>
      <c r="D7" s="345" t="s">
        <v>1288</v>
      </c>
      <c r="E7" s="339"/>
    </row>
    <row r="8" spans="2:5" ht="56.5" thickBot="1" x14ac:dyDescent="0.35">
      <c r="B8" s="73"/>
      <c r="C8" s="346" t="s">
        <v>1289</v>
      </c>
      <c r="D8" s="347" t="s">
        <v>1290</v>
      </c>
      <c r="E8" s="339"/>
    </row>
    <row r="9" spans="2:5" ht="84.5" thickBot="1" x14ac:dyDescent="0.35">
      <c r="B9" s="73"/>
      <c r="C9" s="348" t="s">
        <v>1291</v>
      </c>
      <c r="D9" s="349" t="s">
        <v>1292</v>
      </c>
      <c r="E9" s="339"/>
    </row>
    <row r="10" spans="2:5" ht="154.5" thickBot="1" x14ac:dyDescent="0.35">
      <c r="B10" s="73"/>
      <c r="C10" s="350" t="s">
        <v>1293</v>
      </c>
      <c r="D10" s="345" t="s">
        <v>1294</v>
      </c>
      <c r="E10" s="339"/>
    </row>
    <row r="11" spans="2:5" x14ac:dyDescent="0.3">
      <c r="B11" s="73"/>
      <c r="C11" s="340"/>
      <c r="D11" s="340"/>
      <c r="E11" s="339"/>
    </row>
    <row r="12" spans="2:5" ht="14.5" thickBot="1" x14ac:dyDescent="0.35">
      <c r="B12" s="73"/>
      <c r="C12" s="1197" t="s">
        <v>1295</v>
      </c>
      <c r="D12" s="1197"/>
      <c r="E12" s="339"/>
    </row>
    <row r="13" spans="2:5" ht="14.5" thickBot="1" x14ac:dyDescent="0.35">
      <c r="B13" s="73"/>
      <c r="C13" s="351" t="s">
        <v>1296</v>
      </c>
      <c r="D13" s="351" t="s">
        <v>1286</v>
      </c>
      <c r="E13" s="339"/>
    </row>
    <row r="14" spans="2:5" ht="14.5" thickBot="1" x14ac:dyDescent="0.35">
      <c r="B14" s="73"/>
      <c r="C14" s="1193" t="s">
        <v>1297</v>
      </c>
      <c r="D14" s="1194"/>
      <c r="E14" s="339"/>
    </row>
    <row r="15" spans="2:5" ht="154.5" thickBot="1" x14ac:dyDescent="0.35">
      <c r="B15" s="73"/>
      <c r="C15" s="348" t="s">
        <v>1298</v>
      </c>
      <c r="D15" s="352" t="s">
        <v>1299</v>
      </c>
      <c r="E15" s="339"/>
    </row>
    <row r="16" spans="2:5" ht="126.5" thickBot="1" x14ac:dyDescent="0.35">
      <c r="B16" s="73"/>
      <c r="C16" s="348" t="s">
        <v>1300</v>
      </c>
      <c r="D16" s="353" t="s">
        <v>1301</v>
      </c>
      <c r="E16" s="339"/>
    </row>
    <row r="17" spans="2:5" ht="14.5" thickBot="1" x14ac:dyDescent="0.35">
      <c r="B17" s="73"/>
      <c r="C17" s="1193" t="s">
        <v>1302</v>
      </c>
      <c r="D17" s="1194"/>
      <c r="E17" s="339"/>
    </row>
    <row r="18" spans="2:5" ht="238.5" thickBot="1" x14ac:dyDescent="0.35">
      <c r="B18" s="73"/>
      <c r="C18" s="348" t="s">
        <v>1303</v>
      </c>
      <c r="D18" s="354" t="s">
        <v>1304</v>
      </c>
      <c r="E18" s="339"/>
    </row>
    <row r="19" spans="2:5" ht="140.5" thickBot="1" x14ac:dyDescent="0.35">
      <c r="B19" s="73"/>
      <c r="C19" s="348" t="s">
        <v>1305</v>
      </c>
      <c r="D19" s="347" t="s">
        <v>1306</v>
      </c>
      <c r="E19" s="339"/>
    </row>
    <row r="20" spans="2:5" ht="14.5" thickBot="1" x14ac:dyDescent="0.35">
      <c r="B20" s="73"/>
      <c r="C20" s="1193" t="s">
        <v>1307</v>
      </c>
      <c r="D20" s="1194"/>
      <c r="E20" s="339"/>
    </row>
    <row r="21" spans="2:5" ht="126.5" thickBot="1" x14ac:dyDescent="0.35">
      <c r="B21" s="73"/>
      <c r="C21" s="348" t="s">
        <v>1308</v>
      </c>
      <c r="D21" s="348" t="s">
        <v>1309</v>
      </c>
      <c r="E21" s="339"/>
    </row>
    <row r="22" spans="2:5" ht="168.5" thickBot="1" x14ac:dyDescent="0.35">
      <c r="B22" s="73"/>
      <c r="C22" s="348" t="s">
        <v>1310</v>
      </c>
      <c r="D22" s="348" t="s">
        <v>1311</v>
      </c>
      <c r="E22" s="339"/>
    </row>
    <row r="23" spans="2:5" ht="224.5" thickBot="1" x14ac:dyDescent="0.35">
      <c r="B23" s="73"/>
      <c r="C23" s="348" t="s">
        <v>1312</v>
      </c>
      <c r="D23" s="348" t="s">
        <v>1313</v>
      </c>
      <c r="E23" s="339"/>
    </row>
    <row r="24" spans="2:5" ht="14.5" thickBot="1" x14ac:dyDescent="0.35">
      <c r="B24" s="73"/>
      <c r="C24" s="1193" t="s">
        <v>1314</v>
      </c>
      <c r="D24" s="1194"/>
      <c r="E24" s="339"/>
    </row>
    <row r="25" spans="2:5" ht="364.5" thickBot="1" x14ac:dyDescent="0.35">
      <c r="B25" s="73"/>
      <c r="C25" s="348" t="s">
        <v>1315</v>
      </c>
      <c r="D25" s="353" t="s">
        <v>1316</v>
      </c>
      <c r="E25" s="339"/>
    </row>
    <row r="26" spans="2:5" ht="252.5" thickBot="1" x14ac:dyDescent="0.35">
      <c r="B26" s="73"/>
      <c r="C26" s="348" t="s">
        <v>1317</v>
      </c>
      <c r="D26" s="353" t="s">
        <v>1318</v>
      </c>
      <c r="E26" s="339"/>
    </row>
    <row r="27" spans="2:5" ht="224.5" thickBot="1" x14ac:dyDescent="0.35">
      <c r="B27" s="73"/>
      <c r="C27" s="348" t="s">
        <v>1319</v>
      </c>
      <c r="D27" s="348" t="s">
        <v>1320</v>
      </c>
      <c r="E27" s="339"/>
    </row>
    <row r="28" spans="2:5" ht="112.5" thickBot="1" x14ac:dyDescent="0.35">
      <c r="B28" s="73"/>
      <c r="C28" s="348" t="s">
        <v>1321</v>
      </c>
      <c r="D28" s="353" t="s">
        <v>1322</v>
      </c>
      <c r="E28" s="339"/>
    </row>
    <row r="29" spans="2:5" ht="14.5" thickBot="1" x14ac:dyDescent="0.35">
      <c r="B29" s="355"/>
      <c r="C29" s="356"/>
      <c r="D29" s="356"/>
      <c r="E29" s="357"/>
    </row>
  </sheetData>
  <mergeCells count="6">
    <mergeCell ref="C24:D24"/>
    <mergeCell ref="C3:D3"/>
    <mergeCell ref="C12:D12"/>
    <mergeCell ref="C14:D14"/>
    <mergeCell ref="C17:D17"/>
    <mergeCell ref="C20:D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K24"/>
  <sheetViews>
    <sheetView topLeftCell="A16" workbookViewId="0">
      <selection activeCell="G15" sqref="G15"/>
    </sheetView>
  </sheetViews>
  <sheetFormatPr defaultColWidth="9.1796875" defaultRowHeight="14.5" x14ac:dyDescent="0.35"/>
  <cols>
    <col min="1" max="1" width="1.26953125" customWidth="1"/>
    <col min="2" max="2" width="2.453125" customWidth="1"/>
    <col min="3" max="3" width="47.453125" customWidth="1"/>
    <col min="4" max="6" width="20.54296875" customWidth="1"/>
    <col min="7" max="7" width="47.1796875" customWidth="1"/>
    <col min="8" max="8" width="21.26953125" customWidth="1"/>
    <col min="9" max="9" width="1.7265625" customWidth="1"/>
    <col min="10" max="10" width="1.26953125" customWidth="1"/>
    <col min="11" max="11" width="84.81640625" bestFit="1" customWidth="1"/>
  </cols>
  <sheetData>
    <row r="1" spans="2:11" ht="15" thickBot="1" x14ac:dyDescent="0.4"/>
    <row r="2" spans="2:11" ht="15" thickBot="1" x14ac:dyDescent="0.4">
      <c r="B2" s="327"/>
      <c r="C2" s="328"/>
      <c r="D2" s="328"/>
      <c r="E2" s="328"/>
      <c r="F2" s="328"/>
      <c r="G2" s="328"/>
      <c r="H2" s="328"/>
      <c r="I2" s="329"/>
    </row>
    <row r="3" spans="2:11" ht="20.5" thickBot="1" x14ac:dyDescent="0.45">
      <c r="B3" s="330"/>
      <c r="C3" s="1198" t="s">
        <v>1323</v>
      </c>
      <c r="D3" s="1198"/>
      <c r="E3" s="1198"/>
      <c r="F3" s="1198"/>
      <c r="G3" s="1198"/>
      <c r="H3" s="1198"/>
      <c r="I3" s="331"/>
    </row>
    <row r="4" spans="2:11" x14ac:dyDescent="0.35">
      <c r="B4" s="1199"/>
      <c r="C4" s="1199"/>
      <c r="D4" s="1199"/>
      <c r="E4" s="1199"/>
      <c r="F4" s="1199"/>
      <c r="G4" s="1199"/>
      <c r="H4" s="1199"/>
      <c r="I4" s="331"/>
    </row>
    <row r="5" spans="2:11" ht="15" thickBot="1" x14ac:dyDescent="0.4">
      <c r="B5" s="332"/>
      <c r="C5" s="1200"/>
      <c r="D5" s="1200"/>
      <c r="E5" s="1200"/>
      <c r="F5" s="1200"/>
      <c r="G5" s="1200"/>
      <c r="H5" s="1200"/>
      <c r="I5" s="331"/>
    </row>
    <row r="6" spans="2:11" ht="42.5" thickBot="1" x14ac:dyDescent="0.4">
      <c r="B6" s="332"/>
      <c r="C6" s="333" t="s">
        <v>267</v>
      </c>
      <c r="D6" s="333" t="s">
        <v>1324</v>
      </c>
      <c r="E6" s="333" t="s">
        <v>1325</v>
      </c>
      <c r="F6" s="333" t="s">
        <v>1326</v>
      </c>
      <c r="G6" s="333" t="s">
        <v>1327</v>
      </c>
      <c r="H6" s="333" t="s">
        <v>1352</v>
      </c>
      <c r="I6" s="331"/>
    </row>
    <row r="7" spans="2:11" ht="42" x14ac:dyDescent="0.35">
      <c r="B7" s="332"/>
      <c r="C7" s="750" t="s">
        <v>274</v>
      </c>
      <c r="D7" s="751">
        <v>0</v>
      </c>
      <c r="E7" s="751">
        <v>0</v>
      </c>
      <c r="F7" s="751">
        <v>0</v>
      </c>
      <c r="G7" s="752"/>
      <c r="H7" s="753" t="s">
        <v>413</v>
      </c>
      <c r="I7" s="331"/>
    </row>
    <row r="8" spans="2:11" ht="56" x14ac:dyDescent="0.35">
      <c r="B8" s="332"/>
      <c r="C8" s="750" t="s">
        <v>277</v>
      </c>
      <c r="D8" s="754">
        <v>4057.74</v>
      </c>
      <c r="E8" s="754">
        <v>1692.01</v>
      </c>
      <c r="F8" s="751">
        <f t="shared" ref="F8:F20" si="0">+D8-E8</f>
        <v>2365.7299999999996</v>
      </c>
      <c r="G8" s="752" t="s">
        <v>1351</v>
      </c>
      <c r="H8" s="753">
        <f>+E8/D8</f>
        <v>0.41698334540902082</v>
      </c>
      <c r="I8" s="331"/>
    </row>
    <row r="9" spans="2:11" ht="28" x14ac:dyDescent="0.35">
      <c r="B9" s="332"/>
      <c r="C9" s="750" t="s">
        <v>279</v>
      </c>
      <c r="D9" s="754">
        <v>6768</v>
      </c>
      <c r="E9" s="754">
        <v>6768</v>
      </c>
      <c r="F9" s="751">
        <f t="shared" si="0"/>
        <v>0</v>
      </c>
      <c r="G9" s="755"/>
      <c r="H9" s="753">
        <f t="shared" ref="H9:H20" si="1">+E9/D9</f>
        <v>1</v>
      </c>
      <c r="I9" s="331"/>
    </row>
    <row r="10" spans="2:11" ht="56" x14ac:dyDescent="0.35">
      <c r="B10" s="332"/>
      <c r="C10" s="750" t="s">
        <v>281</v>
      </c>
      <c r="D10" s="754">
        <v>13291.11</v>
      </c>
      <c r="E10" s="754">
        <v>3234.31</v>
      </c>
      <c r="F10" s="751">
        <f t="shared" si="0"/>
        <v>10056.800000000001</v>
      </c>
      <c r="G10" s="752" t="s">
        <v>1328</v>
      </c>
      <c r="H10" s="753">
        <f t="shared" si="1"/>
        <v>0.24334385916601395</v>
      </c>
      <c r="I10" s="331"/>
    </row>
    <row r="11" spans="2:11" ht="28" x14ac:dyDescent="0.35">
      <c r="B11" s="332"/>
      <c r="C11" s="750" t="s">
        <v>284</v>
      </c>
      <c r="D11" s="754">
        <v>5358</v>
      </c>
      <c r="E11" s="754">
        <v>5358</v>
      </c>
      <c r="F11" s="751">
        <f t="shared" si="0"/>
        <v>0</v>
      </c>
      <c r="G11" s="755"/>
      <c r="H11" s="753">
        <f t="shared" si="1"/>
        <v>1</v>
      </c>
      <c r="I11" s="331"/>
    </row>
    <row r="12" spans="2:11" ht="42" x14ac:dyDescent="0.35">
      <c r="B12" s="332"/>
      <c r="C12" s="750" t="s">
        <v>286</v>
      </c>
      <c r="D12" s="754">
        <v>14100</v>
      </c>
      <c r="E12" s="754">
        <v>14100</v>
      </c>
      <c r="F12" s="751">
        <f t="shared" si="0"/>
        <v>0</v>
      </c>
      <c r="G12" s="755"/>
      <c r="H12" s="753">
        <f t="shared" si="1"/>
        <v>1</v>
      </c>
      <c r="I12" s="331"/>
    </row>
    <row r="13" spans="2:11" ht="42" x14ac:dyDescent="0.35">
      <c r="B13" s="332"/>
      <c r="C13" s="750" t="s">
        <v>289</v>
      </c>
      <c r="D13" s="754">
        <v>4521.6499999999996</v>
      </c>
      <c r="E13" s="754">
        <v>423.57</v>
      </c>
      <c r="F13" s="751">
        <f t="shared" si="0"/>
        <v>4098.08</v>
      </c>
      <c r="G13" s="752" t="s">
        <v>1329</v>
      </c>
      <c r="H13" s="753">
        <f t="shared" si="1"/>
        <v>9.3675981113089252E-2</v>
      </c>
      <c r="I13" s="331"/>
    </row>
    <row r="14" spans="2:11" ht="56" x14ac:dyDescent="0.35">
      <c r="B14" s="332"/>
      <c r="C14" s="750" t="s">
        <v>291</v>
      </c>
      <c r="D14" s="754">
        <f>6155.14+409166.34</f>
        <v>415321.48000000004</v>
      </c>
      <c r="E14" s="754">
        <f>4512+341959.34</f>
        <v>346471.34</v>
      </c>
      <c r="F14" s="751">
        <f t="shared" si="0"/>
        <v>68850.140000000014</v>
      </c>
      <c r="G14" s="752" t="s">
        <v>1330</v>
      </c>
      <c r="H14" s="753">
        <f t="shared" si="1"/>
        <v>0.83422446630980895</v>
      </c>
      <c r="I14" s="331"/>
    </row>
    <row r="15" spans="2:11" ht="168" x14ac:dyDescent="0.35">
      <c r="B15" s="332"/>
      <c r="C15" s="750" t="s">
        <v>294</v>
      </c>
      <c r="D15" s="754">
        <f>12000+25000</f>
        <v>37000</v>
      </c>
      <c r="E15" s="754">
        <v>4690.59</v>
      </c>
      <c r="F15" s="751">
        <f t="shared" si="0"/>
        <v>32309.41</v>
      </c>
      <c r="G15" s="752" t="s">
        <v>1449</v>
      </c>
      <c r="H15" s="753">
        <f t="shared" si="1"/>
        <v>0.12677270270270272</v>
      </c>
      <c r="I15" s="331"/>
      <c r="K15" s="767"/>
    </row>
    <row r="16" spans="2:11" ht="56" x14ac:dyDescent="0.35">
      <c r="B16" s="332"/>
      <c r="C16" s="750" t="s">
        <v>297</v>
      </c>
      <c r="D16" s="754">
        <v>52845.919999999998</v>
      </c>
      <c r="E16" s="754">
        <v>3344</v>
      </c>
      <c r="F16" s="751">
        <f t="shared" si="0"/>
        <v>49501.919999999998</v>
      </c>
      <c r="G16" s="752" t="s">
        <v>1328</v>
      </c>
      <c r="H16" s="753">
        <f t="shared" si="1"/>
        <v>6.3278300387238973E-2</v>
      </c>
      <c r="I16" s="331"/>
    </row>
    <row r="17" spans="2:11" ht="70" x14ac:dyDescent="0.35">
      <c r="B17" s="332"/>
      <c r="C17" s="750" t="s">
        <v>300</v>
      </c>
      <c r="D17" s="754">
        <v>2478908.7799999998</v>
      </c>
      <c r="E17" s="754">
        <v>1594613.5</v>
      </c>
      <c r="F17" s="751">
        <f t="shared" si="0"/>
        <v>884295.2799999998</v>
      </c>
      <c r="G17" s="752" t="s">
        <v>1331</v>
      </c>
      <c r="H17" s="753">
        <f t="shared" si="1"/>
        <v>0.6432723595420079</v>
      </c>
      <c r="I17" s="331"/>
    </row>
    <row r="18" spans="2:11" ht="70" x14ac:dyDescent="0.35">
      <c r="B18" s="332"/>
      <c r="C18" s="750" t="s">
        <v>302</v>
      </c>
      <c r="D18" s="754">
        <v>269713.52</v>
      </c>
      <c r="E18" s="754">
        <v>0</v>
      </c>
      <c r="F18" s="751">
        <f t="shared" si="0"/>
        <v>269713.52</v>
      </c>
      <c r="G18" s="752" t="s">
        <v>1332</v>
      </c>
      <c r="H18" s="753">
        <f t="shared" si="1"/>
        <v>0</v>
      </c>
      <c r="I18" s="331"/>
    </row>
    <row r="19" spans="2:11" ht="56" x14ac:dyDescent="0.35">
      <c r="B19" s="332"/>
      <c r="C19" s="750" t="s">
        <v>305</v>
      </c>
      <c r="D19" s="754">
        <v>143511.85</v>
      </c>
      <c r="E19" s="754">
        <v>4560</v>
      </c>
      <c r="F19" s="751">
        <f t="shared" si="0"/>
        <v>138951.85</v>
      </c>
      <c r="G19" s="752" t="s">
        <v>1353</v>
      </c>
      <c r="H19" s="753">
        <f t="shared" si="1"/>
        <v>3.1774379606980187E-2</v>
      </c>
      <c r="I19" s="331"/>
      <c r="K19" s="767"/>
    </row>
    <row r="20" spans="2:11" ht="42" x14ac:dyDescent="0.35">
      <c r="B20" s="332"/>
      <c r="C20" s="750" t="s">
        <v>308</v>
      </c>
      <c r="D20" s="754">
        <v>71924</v>
      </c>
      <c r="E20" s="754"/>
      <c r="F20" s="751">
        <f t="shared" si="0"/>
        <v>71924</v>
      </c>
      <c r="G20" s="752" t="s">
        <v>1333</v>
      </c>
      <c r="H20" s="753">
        <f t="shared" si="1"/>
        <v>0</v>
      </c>
      <c r="I20" s="331"/>
      <c r="K20" s="767"/>
    </row>
    <row r="21" spans="2:11" ht="15" thickBot="1" x14ac:dyDescent="0.4">
      <c r="B21" s="332"/>
      <c r="C21" s="756"/>
      <c r="D21" s="757">
        <f>SUM(D7:D20)</f>
        <v>3517322.05</v>
      </c>
      <c r="E21" s="757">
        <f>SUM(E7:E20)</f>
        <v>1985255.32</v>
      </c>
      <c r="F21" s="757">
        <f>SUM(F7:F20)</f>
        <v>1532066.73</v>
      </c>
      <c r="G21" s="758"/>
      <c r="H21" s="759"/>
      <c r="I21" s="331"/>
    </row>
    <row r="22" spans="2:11" x14ac:dyDescent="0.35">
      <c r="B22" s="332"/>
      <c r="C22" s="334"/>
      <c r="D22" s="334"/>
      <c r="E22" s="334"/>
      <c r="F22" s="334"/>
      <c r="G22" s="334"/>
      <c r="H22" s="334"/>
      <c r="I22" s="331"/>
    </row>
    <row r="23" spans="2:11" x14ac:dyDescent="0.35">
      <c r="B23" s="332"/>
      <c r="C23" s="1201" t="s">
        <v>1334</v>
      </c>
      <c r="D23" s="1201"/>
      <c r="E23" s="1201"/>
      <c r="F23" s="1201"/>
      <c r="G23" s="1201"/>
      <c r="H23" s="1201"/>
      <c r="I23" s="331"/>
    </row>
    <row r="24" spans="2:11" ht="15" thickBot="1" x14ac:dyDescent="0.4">
      <c r="B24" s="335"/>
      <c r="C24" s="336"/>
      <c r="D24" s="336"/>
      <c r="E24" s="336"/>
      <c r="F24" s="336"/>
      <c r="G24" s="336"/>
      <c r="H24" s="336"/>
      <c r="I24" s="337"/>
    </row>
  </sheetData>
  <mergeCells count="4">
    <mergeCell ref="C3:H3"/>
    <mergeCell ref="B4:H4"/>
    <mergeCell ref="C5:H5"/>
    <mergeCell ref="C23:H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BK71"/>
  <sheetViews>
    <sheetView topLeftCell="A46" zoomScale="90" zoomScaleNormal="90" workbookViewId="0">
      <selection activeCell="A38" sqref="A38"/>
    </sheetView>
  </sheetViews>
  <sheetFormatPr defaultColWidth="9.1796875" defaultRowHeight="14" x14ac:dyDescent="0.3"/>
  <cols>
    <col min="1" max="1" width="1.453125" style="13" customWidth="1"/>
    <col min="2" max="2" width="1.54296875" style="12" customWidth="1"/>
    <col min="3" max="3" width="10.26953125" style="12" customWidth="1"/>
    <col min="4" max="4" width="21" style="12" customWidth="1"/>
    <col min="5" max="6" width="28.7265625" style="13" customWidth="1"/>
    <col min="7" max="7" width="13.54296875" style="13" customWidth="1"/>
    <col min="8" max="8" width="1.1796875" style="13" customWidth="1"/>
    <col min="9" max="9" width="6" style="141" customWidth="1"/>
    <col min="10" max="10" width="1.453125" style="13" customWidth="1"/>
    <col min="11" max="11" width="1.54296875" style="12" customWidth="1"/>
    <col min="12" max="12" width="10.26953125" style="12" customWidth="1"/>
    <col min="13" max="13" width="21" style="12" customWidth="1"/>
    <col min="14" max="15" width="28.7265625" style="13" customWidth="1"/>
    <col min="16" max="16" width="13.54296875" style="13" customWidth="1"/>
    <col min="17" max="17" width="1.1796875" style="13" customWidth="1"/>
    <col min="18" max="18" width="6" style="141" customWidth="1"/>
    <col min="19" max="19" width="1.453125" style="13" customWidth="1"/>
    <col min="20" max="20" width="1.54296875" style="12" customWidth="1"/>
    <col min="21" max="21" width="10.26953125" style="12" customWidth="1"/>
    <col min="22" max="22" width="21" style="12" customWidth="1"/>
    <col min="23" max="23" width="32" style="13" customWidth="1"/>
    <col min="24" max="24" width="22.7265625" style="13" customWidth="1"/>
    <col min="25" max="25" width="13.54296875" style="13" customWidth="1"/>
    <col min="26" max="26" width="1.1796875" style="13" customWidth="1"/>
    <col min="27" max="27" width="6.54296875" style="13" customWidth="1"/>
    <col min="28" max="28" width="2.26953125" style="13" customWidth="1"/>
    <col min="29" max="29" width="1.54296875" style="12" customWidth="1"/>
    <col min="30" max="30" width="10.26953125" style="12" customWidth="1"/>
    <col min="31" max="31" width="21" style="12" customWidth="1"/>
    <col min="32" max="32" width="32" style="13" customWidth="1"/>
    <col min="33" max="33" width="22.7265625" style="13" customWidth="1"/>
    <col min="34" max="34" width="13.54296875" style="13" customWidth="1"/>
    <col min="35" max="35" width="1.1796875" style="13" customWidth="1"/>
    <col min="36" max="36" width="6.54296875" style="13" customWidth="1"/>
    <col min="37" max="37" width="2.26953125" style="13" customWidth="1"/>
    <col min="38" max="38" width="1.54296875" style="12" customWidth="1"/>
    <col min="39" max="39" width="10.26953125" style="12" customWidth="1"/>
    <col min="40" max="40" width="21" style="12" customWidth="1"/>
    <col min="41" max="41" width="32" style="13" customWidth="1"/>
    <col min="42" max="42" width="22.7265625" style="13" customWidth="1"/>
    <col min="43" max="43" width="13.54296875" style="13" customWidth="1"/>
    <col min="44" max="44" width="1.1796875" style="13" customWidth="1"/>
    <col min="45" max="45" width="5.7265625" style="13" hidden="1" customWidth="1"/>
    <col min="46" max="46" width="0" style="13" hidden="1" customWidth="1"/>
    <col min="47" max="49" width="14" style="13" hidden="1" customWidth="1"/>
    <col min="50" max="51" width="0" style="13" hidden="1" customWidth="1"/>
    <col min="52" max="52" width="14.26953125" style="13" hidden="1" customWidth="1"/>
    <col min="53" max="54" width="12.7265625" style="318" hidden="1" customWidth="1"/>
    <col min="55" max="55" width="26.7265625" style="13" customWidth="1"/>
    <col min="56" max="56" width="15.1796875" style="13" customWidth="1"/>
    <col min="57" max="57" width="16" style="13" customWidth="1"/>
    <col min="58" max="58" width="9.1796875" style="13"/>
    <col min="59" max="60" width="10.453125" style="13" bestFit="1" customWidth="1"/>
    <col min="61" max="16384" width="9.1796875" style="13"/>
  </cols>
  <sheetData>
    <row r="1" spans="2:57" ht="14.5" thickBot="1" x14ac:dyDescent="0.35">
      <c r="U1" s="182"/>
      <c r="AD1" s="182"/>
    </row>
    <row r="2" spans="2:57" ht="14.5" thickBot="1" x14ac:dyDescent="0.35">
      <c r="B2" s="39"/>
      <c r="C2" s="40"/>
      <c r="D2" s="40"/>
      <c r="E2" s="41"/>
      <c r="F2" s="41"/>
      <c r="G2" s="41"/>
      <c r="H2" s="42"/>
      <c r="I2" s="142"/>
      <c r="K2" s="39"/>
      <c r="L2" s="40"/>
      <c r="M2" s="40"/>
      <c r="N2" s="41"/>
      <c r="O2" s="41"/>
      <c r="P2" s="41"/>
      <c r="Q2" s="42"/>
      <c r="R2" s="142"/>
      <c r="T2" s="39"/>
      <c r="U2" s="40"/>
      <c r="V2" s="40"/>
      <c r="W2" s="41"/>
      <c r="X2" s="41"/>
      <c r="Y2" s="41"/>
      <c r="Z2" s="42"/>
      <c r="AC2" s="39"/>
      <c r="AD2" s="40"/>
      <c r="AE2" s="40"/>
      <c r="AF2" s="41"/>
      <c r="AG2" s="41"/>
      <c r="AH2" s="41"/>
      <c r="AI2" s="42"/>
      <c r="AL2" s="39"/>
      <c r="AM2" s="40"/>
      <c r="AN2" s="40"/>
      <c r="AO2" s="41"/>
      <c r="AP2" s="41"/>
      <c r="AQ2" s="41"/>
      <c r="AR2" s="42"/>
    </row>
    <row r="3" spans="2:57" ht="14.5" thickBot="1" x14ac:dyDescent="0.35">
      <c r="B3" s="43"/>
      <c r="C3" s="801" t="s">
        <v>245</v>
      </c>
      <c r="D3" s="802"/>
      <c r="E3" s="802"/>
      <c r="F3" s="802"/>
      <c r="G3" s="803"/>
      <c r="H3" s="44"/>
      <c r="I3" s="143"/>
      <c r="K3" s="43"/>
      <c r="L3" s="801" t="s">
        <v>246</v>
      </c>
      <c r="M3" s="802"/>
      <c r="N3" s="802"/>
      <c r="O3" s="802"/>
      <c r="P3" s="803"/>
      <c r="Q3" s="44"/>
      <c r="R3" s="143"/>
      <c r="T3" s="43"/>
      <c r="U3" s="801" t="s">
        <v>247</v>
      </c>
      <c r="V3" s="802"/>
      <c r="W3" s="802"/>
      <c r="X3" s="802"/>
      <c r="Y3" s="803"/>
      <c r="Z3" s="44"/>
      <c r="AC3" s="43"/>
      <c r="AD3" s="801" t="s">
        <v>248</v>
      </c>
      <c r="AE3" s="802"/>
      <c r="AF3" s="802"/>
      <c r="AG3" s="802"/>
      <c r="AH3" s="803"/>
      <c r="AI3" s="44"/>
      <c r="AL3" s="43"/>
      <c r="AM3" s="801" t="s">
        <v>249</v>
      </c>
      <c r="AN3" s="802"/>
      <c r="AO3" s="802"/>
      <c r="AP3" s="802"/>
      <c r="AQ3" s="803"/>
      <c r="AR3" s="44"/>
    </row>
    <row r="4" spans="2:57" x14ac:dyDescent="0.3">
      <c r="B4" s="804"/>
      <c r="C4" s="805"/>
      <c r="D4" s="805"/>
      <c r="E4" s="805"/>
      <c r="F4" s="805"/>
      <c r="G4" s="46"/>
      <c r="H4" s="44"/>
      <c r="I4" s="143"/>
      <c r="K4" s="804"/>
      <c r="L4" s="805"/>
      <c r="M4" s="805"/>
      <c r="N4" s="805"/>
      <c r="O4" s="805"/>
      <c r="P4" s="46"/>
      <c r="Q4" s="44"/>
      <c r="R4" s="143"/>
      <c r="T4" s="804"/>
      <c r="U4" s="805"/>
      <c r="V4" s="805"/>
      <c r="W4" s="805"/>
      <c r="X4" s="805"/>
      <c r="Y4" s="46"/>
      <c r="Z4" s="44"/>
      <c r="AC4" s="804"/>
      <c r="AD4" s="805"/>
      <c r="AE4" s="805"/>
      <c r="AF4" s="805"/>
      <c r="AG4" s="805"/>
      <c r="AH4" s="46"/>
      <c r="AI4" s="44"/>
      <c r="AL4" s="804"/>
      <c r="AM4" s="805"/>
      <c r="AN4" s="805"/>
      <c r="AO4" s="805"/>
      <c r="AP4" s="805"/>
      <c r="AQ4" s="46"/>
      <c r="AR4" s="44"/>
    </row>
    <row r="5" spans="2:57" x14ac:dyDescent="0.3">
      <c r="B5" s="45"/>
      <c r="C5" s="806"/>
      <c r="D5" s="806"/>
      <c r="E5" s="806"/>
      <c r="F5" s="806"/>
      <c r="G5" s="46"/>
      <c r="H5" s="44"/>
      <c r="I5" s="143"/>
      <c r="K5" s="45"/>
      <c r="L5" s="806"/>
      <c r="M5" s="806"/>
      <c r="N5" s="806"/>
      <c r="O5" s="806"/>
      <c r="P5" s="46"/>
      <c r="Q5" s="44"/>
      <c r="R5" s="143"/>
      <c r="T5" s="45"/>
      <c r="U5" s="806"/>
      <c r="V5" s="806"/>
      <c r="W5" s="806"/>
      <c r="X5" s="806"/>
      <c r="Y5" s="46"/>
      <c r="Z5" s="44"/>
      <c r="AC5" s="45"/>
      <c r="AD5" s="806"/>
      <c r="AE5" s="806"/>
      <c r="AF5" s="806"/>
      <c r="AG5" s="806"/>
      <c r="AH5" s="46"/>
      <c r="AI5" s="44"/>
      <c r="AL5" s="45"/>
      <c r="AM5" s="806"/>
      <c r="AN5" s="806"/>
      <c r="AO5" s="806"/>
      <c r="AP5" s="806"/>
      <c r="AQ5" s="46"/>
      <c r="AR5" s="44"/>
    </row>
    <row r="6" spans="2:57" ht="14.5" thickBot="1" x14ac:dyDescent="0.35">
      <c r="B6" s="45"/>
      <c r="C6" s="25"/>
      <c r="D6" s="27"/>
      <c r="E6" s="26"/>
      <c r="F6" s="46"/>
      <c r="G6" s="46"/>
      <c r="H6" s="44"/>
      <c r="I6" s="143"/>
      <c r="K6" s="45"/>
      <c r="L6" s="25"/>
      <c r="M6" s="27"/>
      <c r="N6" s="26"/>
      <c r="O6" s="46"/>
      <c r="P6" s="46"/>
      <c r="Q6" s="44"/>
      <c r="R6" s="143"/>
      <c r="T6" s="45"/>
      <c r="U6" s="122"/>
      <c r="V6" s="123"/>
      <c r="W6" s="33"/>
      <c r="X6" s="34"/>
      <c r="Y6" s="46"/>
      <c r="Z6" s="44"/>
      <c r="AC6" s="45"/>
      <c r="AD6" s="122"/>
      <c r="AE6" s="123"/>
      <c r="AF6" s="33"/>
      <c r="AG6" s="34"/>
      <c r="AH6" s="46"/>
      <c r="AI6" s="44"/>
      <c r="AL6" s="45"/>
      <c r="AM6" s="122"/>
      <c r="AN6" s="123"/>
      <c r="AO6" s="33"/>
      <c r="AP6" s="34"/>
      <c r="AQ6" s="34"/>
      <c r="AR6" s="44"/>
    </row>
    <row r="7" spans="2:57" ht="26.25" customHeight="1" thickBot="1" x14ac:dyDescent="0.35">
      <c r="B7" s="45"/>
      <c r="C7" s="794" t="s">
        <v>250</v>
      </c>
      <c r="D7" s="794"/>
      <c r="E7" s="120">
        <v>6962120</v>
      </c>
      <c r="F7" s="149"/>
      <c r="G7" s="150"/>
      <c r="H7" s="44"/>
      <c r="I7" s="143"/>
      <c r="K7" s="45"/>
      <c r="L7" s="794" t="s">
        <v>250</v>
      </c>
      <c r="M7" s="794"/>
      <c r="N7" s="120">
        <f>(808580+127266)+(1412670+125343)+(1749850+125948)+(1833400+126710)</f>
        <v>6309767</v>
      </c>
      <c r="O7" s="149"/>
      <c r="P7" s="150"/>
      <c r="Q7" s="44"/>
      <c r="R7" s="143"/>
      <c r="T7" s="45"/>
      <c r="U7" s="815" t="s">
        <v>250</v>
      </c>
      <c r="V7" s="815"/>
      <c r="W7" s="124">
        <f>(808580+127266)+(1412670+125343)+(1749850+125948)</f>
        <v>4349657</v>
      </c>
      <c r="X7" s="34"/>
      <c r="Y7" s="46"/>
      <c r="Z7" s="44"/>
      <c r="AC7" s="45"/>
      <c r="AD7" s="815" t="s">
        <v>250</v>
      </c>
      <c r="AE7" s="815"/>
      <c r="AF7" s="124">
        <f>808580+127266+1412670+125343</f>
        <v>2473859</v>
      </c>
      <c r="AG7" s="34"/>
      <c r="AH7" s="46"/>
      <c r="AI7" s="44"/>
      <c r="AL7" s="45"/>
      <c r="AM7" s="815" t="s">
        <v>250</v>
      </c>
      <c r="AN7" s="815"/>
      <c r="AO7" s="124">
        <f>808580+127266+1412670+125343</f>
        <v>2473859</v>
      </c>
      <c r="AP7" s="34"/>
      <c r="AQ7" s="34"/>
      <c r="AR7" s="44"/>
    </row>
    <row r="8" spans="2:57" ht="14.5" thickBot="1" x14ac:dyDescent="0.35">
      <c r="B8" s="45"/>
      <c r="C8" s="807" t="s">
        <v>251</v>
      </c>
      <c r="D8" s="807"/>
      <c r="E8" s="807"/>
      <c r="F8" s="807"/>
      <c r="G8" s="46"/>
      <c r="H8" s="44"/>
      <c r="I8" s="143"/>
      <c r="K8" s="45"/>
      <c r="L8" s="807" t="s">
        <v>251</v>
      </c>
      <c r="M8" s="807"/>
      <c r="N8" s="807"/>
      <c r="O8" s="807"/>
      <c r="P8" s="46"/>
      <c r="Q8" s="44"/>
      <c r="R8" s="143"/>
      <c r="T8" s="45"/>
      <c r="U8" s="818" t="s">
        <v>251</v>
      </c>
      <c r="V8" s="818"/>
      <c r="W8" s="818"/>
      <c r="X8" s="818"/>
      <c r="Y8" s="46"/>
      <c r="Z8" s="44"/>
      <c r="AC8" s="45"/>
      <c r="AD8" s="818" t="s">
        <v>251</v>
      </c>
      <c r="AE8" s="818"/>
      <c r="AF8" s="818"/>
      <c r="AG8" s="818"/>
      <c r="AH8" s="46"/>
      <c r="AI8" s="44"/>
      <c r="AL8" s="45"/>
      <c r="AM8" s="818" t="s">
        <v>251</v>
      </c>
      <c r="AN8" s="818"/>
      <c r="AO8" s="818"/>
      <c r="AP8" s="818"/>
      <c r="AQ8" s="34"/>
      <c r="AR8" s="44"/>
    </row>
    <row r="9" spans="2:57" ht="40.5" customHeight="1" thickBot="1" x14ac:dyDescent="0.35">
      <c r="B9" s="45"/>
      <c r="C9" s="794" t="s">
        <v>252</v>
      </c>
      <c r="D9" s="794"/>
      <c r="E9" s="808">
        <f>2270953+2033693</f>
        <v>4304646</v>
      </c>
      <c r="F9" s="809"/>
      <c r="G9" s="46"/>
      <c r="H9" s="44"/>
      <c r="I9" s="126">
        <f>+E9/E7</f>
        <v>0.61829528936588285</v>
      </c>
      <c r="K9" s="45"/>
      <c r="L9" s="794" t="s">
        <v>253</v>
      </c>
      <c r="M9" s="794"/>
      <c r="N9" s="808">
        <f>+W9+O32</f>
        <v>2270953.1269999999</v>
      </c>
      <c r="O9" s="809"/>
      <c r="P9" s="46"/>
      <c r="Q9" s="44"/>
      <c r="R9" s="126">
        <f>+N9/N7</f>
        <v>0.35991077435981389</v>
      </c>
      <c r="T9" s="45"/>
      <c r="U9" s="815" t="s">
        <v>254</v>
      </c>
      <c r="V9" s="815"/>
      <c r="W9" s="816">
        <v>1417113</v>
      </c>
      <c r="X9" s="817"/>
      <c r="Y9" s="46"/>
      <c r="Z9" s="44"/>
      <c r="AA9" s="125">
        <f>W9/W7</f>
        <v>0.32579879287033436</v>
      </c>
      <c r="AC9" s="45"/>
      <c r="AD9" s="815" t="s">
        <v>255</v>
      </c>
      <c r="AE9" s="815"/>
      <c r="AF9" s="816">
        <f>+AG35+AP35</f>
        <v>853666.33</v>
      </c>
      <c r="AG9" s="817"/>
      <c r="AH9" s="46"/>
      <c r="AI9" s="44"/>
      <c r="AJ9" s="125">
        <f>AF9/AF7</f>
        <v>0.34507477184431284</v>
      </c>
      <c r="AL9" s="45"/>
      <c r="AM9" s="815" t="s">
        <v>256</v>
      </c>
      <c r="AN9" s="815"/>
      <c r="AO9" s="821">
        <f>+AP35</f>
        <v>292647.59999999998</v>
      </c>
      <c r="AP9" s="822"/>
      <c r="AQ9" s="34"/>
      <c r="AR9" s="44"/>
      <c r="AS9" s="126">
        <f>+AO9/AO7</f>
        <v>0.11829599019184196</v>
      </c>
    </row>
    <row r="10" spans="2:57" ht="33" customHeight="1" thickBot="1" x14ac:dyDescent="0.35">
      <c r="B10" s="45"/>
      <c r="C10" s="794" t="s">
        <v>257</v>
      </c>
      <c r="D10" s="794"/>
      <c r="E10" s="810" t="s">
        <v>258</v>
      </c>
      <c r="F10" s="811"/>
      <c r="G10" s="46"/>
      <c r="H10" s="44"/>
      <c r="I10" s="143"/>
      <c r="K10" s="45"/>
      <c r="L10" s="794" t="s">
        <v>257</v>
      </c>
      <c r="M10" s="794"/>
      <c r="N10" s="810" t="s">
        <v>259</v>
      </c>
      <c r="O10" s="811"/>
      <c r="P10" s="46"/>
      <c r="Q10" s="44"/>
      <c r="R10" s="143"/>
      <c r="T10" s="45"/>
      <c r="U10" s="815" t="s">
        <v>257</v>
      </c>
      <c r="V10" s="815"/>
      <c r="W10" s="819" t="s">
        <v>260</v>
      </c>
      <c r="X10" s="820"/>
      <c r="Y10" s="46"/>
      <c r="Z10" s="44"/>
      <c r="AC10" s="45"/>
      <c r="AD10" s="815" t="s">
        <v>257</v>
      </c>
      <c r="AE10" s="815"/>
      <c r="AF10" s="819" t="s">
        <v>261</v>
      </c>
      <c r="AG10" s="820"/>
      <c r="AH10" s="46"/>
      <c r="AI10" s="44"/>
      <c r="AL10" s="45"/>
      <c r="AM10" s="815" t="s">
        <v>257</v>
      </c>
      <c r="AN10" s="815"/>
      <c r="AO10" s="819" t="s">
        <v>262</v>
      </c>
      <c r="AP10" s="820"/>
      <c r="AQ10" s="34"/>
      <c r="AR10" s="44"/>
    </row>
    <row r="11" spans="2:57" ht="14.5" thickBot="1" x14ac:dyDescent="0.35">
      <c r="B11" s="45"/>
      <c r="C11" s="27"/>
      <c r="D11" s="27"/>
      <c r="E11" s="46"/>
      <c r="F11" s="46"/>
      <c r="G11" s="46"/>
      <c r="H11" s="44"/>
      <c r="I11" s="143"/>
      <c r="K11" s="45"/>
      <c r="L11" s="27"/>
      <c r="M11" s="27"/>
      <c r="N11" s="46"/>
      <c r="O11" s="46"/>
      <c r="P11" s="46"/>
      <c r="Q11" s="44"/>
      <c r="R11" s="143"/>
      <c r="T11" s="45"/>
      <c r="U11" s="531"/>
      <c r="V11" s="531"/>
      <c r="W11" s="531"/>
      <c r="X11" s="531"/>
      <c r="Y11" s="46"/>
      <c r="Z11" s="44"/>
      <c r="AC11" s="45"/>
      <c r="AD11" s="123"/>
      <c r="AE11" s="123"/>
      <c r="AF11" s="34"/>
      <c r="AG11" s="34"/>
      <c r="AH11" s="46"/>
      <c r="AI11" s="44"/>
      <c r="AL11" s="45"/>
      <c r="AM11" s="123"/>
      <c r="AN11" s="123"/>
      <c r="AO11" s="34"/>
      <c r="AP11" s="34"/>
      <c r="AQ11" s="34"/>
      <c r="AR11" s="44"/>
    </row>
    <row r="12" spans="2:57" ht="14.5" thickBot="1" x14ac:dyDescent="0.35">
      <c r="B12" s="45"/>
      <c r="C12" s="794" t="s">
        <v>263</v>
      </c>
      <c r="D12" s="794"/>
      <c r="E12" s="812">
        <v>0</v>
      </c>
      <c r="F12" s="813"/>
      <c r="G12" s="46"/>
      <c r="H12" s="44"/>
      <c r="I12" s="143"/>
      <c r="K12" s="45"/>
      <c r="L12" s="794" t="s">
        <v>263</v>
      </c>
      <c r="M12" s="794"/>
      <c r="N12" s="812">
        <v>0</v>
      </c>
      <c r="O12" s="813"/>
      <c r="P12" s="46"/>
      <c r="Q12" s="44"/>
      <c r="R12" s="143"/>
      <c r="T12" s="45"/>
      <c r="U12" s="531"/>
      <c r="V12" s="531"/>
      <c r="W12" s="531"/>
      <c r="X12" s="531"/>
      <c r="Y12" s="46"/>
      <c r="Z12" s="44"/>
      <c r="AC12" s="45"/>
      <c r="AD12" s="123"/>
      <c r="AE12" s="123"/>
      <c r="AF12" s="34"/>
      <c r="AG12" s="34"/>
      <c r="AH12" s="46"/>
      <c r="AI12" s="44"/>
      <c r="AL12" s="45"/>
      <c r="AM12" s="123"/>
      <c r="AN12" s="123"/>
      <c r="AO12" s="34"/>
      <c r="AP12" s="34"/>
      <c r="AQ12" s="34"/>
      <c r="AR12" s="44"/>
    </row>
    <row r="13" spans="2:57" x14ac:dyDescent="0.3">
      <c r="B13" s="45"/>
      <c r="C13" s="814" t="s">
        <v>264</v>
      </c>
      <c r="D13" s="814"/>
      <c r="E13" s="814"/>
      <c r="F13" s="814"/>
      <c r="G13" s="46"/>
      <c r="H13" s="44"/>
      <c r="I13" s="143"/>
      <c r="K13" s="45"/>
      <c r="L13" s="814" t="s">
        <v>264</v>
      </c>
      <c r="M13" s="814"/>
      <c r="N13" s="814"/>
      <c r="O13" s="814"/>
      <c r="P13" s="46"/>
      <c r="Q13" s="44"/>
      <c r="R13" s="143"/>
      <c r="T13" s="45"/>
      <c r="U13" s="531"/>
      <c r="V13" s="531"/>
      <c r="W13" s="531"/>
      <c r="X13" s="531"/>
      <c r="Y13" s="46"/>
      <c r="Z13" s="44"/>
      <c r="AC13" s="45"/>
      <c r="AD13" s="123"/>
      <c r="AE13" s="123"/>
      <c r="AF13" s="34"/>
      <c r="AG13" s="34"/>
      <c r="AH13" s="46"/>
      <c r="AI13" s="44"/>
      <c r="AL13" s="45"/>
      <c r="AM13" s="123"/>
      <c r="AN13" s="123"/>
      <c r="AO13" s="34"/>
      <c r="AP13" s="34"/>
      <c r="AQ13" s="34"/>
      <c r="AR13" s="44"/>
    </row>
    <row r="14" spans="2:57" x14ac:dyDescent="0.3">
      <c r="B14" s="45"/>
      <c r="C14" s="181"/>
      <c r="D14" s="181"/>
      <c r="E14" s="181"/>
      <c r="F14" s="181"/>
      <c r="G14" s="46"/>
      <c r="H14" s="44"/>
      <c r="I14" s="143"/>
      <c r="K14" s="45"/>
      <c r="L14" s="181"/>
      <c r="M14" s="181"/>
      <c r="N14" s="181"/>
      <c r="O14" s="181"/>
      <c r="P14" s="46"/>
      <c r="Q14" s="44"/>
      <c r="R14" s="143"/>
      <c r="T14" s="45"/>
      <c r="U14" s="531"/>
      <c r="V14" s="531"/>
      <c r="W14" s="531"/>
      <c r="X14" s="531"/>
      <c r="Y14" s="46"/>
      <c r="Z14" s="44"/>
      <c r="AC14" s="45"/>
      <c r="AD14" s="123"/>
      <c r="AE14" s="123"/>
      <c r="AF14" s="34"/>
      <c r="AG14" s="34"/>
      <c r="AH14" s="46"/>
      <c r="AI14" s="44"/>
      <c r="AL14" s="45"/>
      <c r="AM14" s="123"/>
      <c r="AN14" s="123"/>
      <c r="AO14" s="34"/>
      <c r="AP14" s="34"/>
      <c r="AQ14" s="34"/>
      <c r="AR14" s="44"/>
    </row>
    <row r="15" spans="2:57" ht="14.5" thickBot="1" x14ac:dyDescent="0.35">
      <c r="B15" s="45"/>
      <c r="C15" s="794" t="s">
        <v>265</v>
      </c>
      <c r="D15" s="794"/>
      <c r="E15" s="46"/>
      <c r="F15" s="46"/>
      <c r="G15" s="46"/>
      <c r="H15" s="44"/>
      <c r="I15" s="143"/>
      <c r="K15" s="45"/>
      <c r="L15" s="794" t="s">
        <v>265</v>
      </c>
      <c r="M15" s="794"/>
      <c r="N15" s="46"/>
      <c r="O15" s="46"/>
      <c r="P15" s="46"/>
      <c r="Q15" s="44"/>
      <c r="R15" s="143"/>
      <c r="T15" s="45"/>
      <c r="U15" s="815" t="s">
        <v>265</v>
      </c>
      <c r="V15" s="815"/>
      <c r="W15" s="34"/>
      <c r="X15" s="34"/>
      <c r="Y15" s="46"/>
      <c r="Z15" s="44"/>
      <c r="AB15" s="14"/>
      <c r="AC15" s="45"/>
      <c r="AD15" s="815" t="s">
        <v>265</v>
      </c>
      <c r="AE15" s="815"/>
      <c r="AF15" s="34"/>
      <c r="AG15" s="34"/>
      <c r="AH15" s="46"/>
      <c r="AI15" s="44"/>
      <c r="AL15" s="45"/>
      <c r="AM15" s="815" t="s">
        <v>265</v>
      </c>
      <c r="AN15" s="815"/>
      <c r="AO15" s="34"/>
      <c r="AP15" s="34"/>
      <c r="AQ15" s="34"/>
      <c r="AR15" s="44"/>
    </row>
    <row r="16" spans="2:57" ht="42.5" thickBot="1" x14ac:dyDescent="0.35">
      <c r="B16" s="45"/>
      <c r="C16" s="794" t="s">
        <v>266</v>
      </c>
      <c r="D16" s="794"/>
      <c r="E16" s="71" t="s">
        <v>267</v>
      </c>
      <c r="F16" s="121" t="s">
        <v>268</v>
      </c>
      <c r="G16" s="46"/>
      <c r="H16" s="44"/>
      <c r="I16" s="143"/>
      <c r="K16" s="45"/>
      <c r="L16" s="794" t="s">
        <v>266</v>
      </c>
      <c r="M16" s="794"/>
      <c r="N16" s="71" t="s">
        <v>267</v>
      </c>
      <c r="O16" s="121" t="s">
        <v>268</v>
      </c>
      <c r="P16" s="46"/>
      <c r="Q16" s="44"/>
      <c r="R16" s="143"/>
      <c r="T16" s="45"/>
      <c r="U16" s="815" t="s">
        <v>266</v>
      </c>
      <c r="V16" s="815"/>
      <c r="W16" s="127" t="s">
        <v>267</v>
      </c>
      <c r="X16" s="128" t="s">
        <v>268</v>
      </c>
      <c r="Y16" s="46"/>
      <c r="Z16" s="44"/>
      <c r="AB16" s="14"/>
      <c r="AC16" s="45"/>
      <c r="AD16" s="815" t="s">
        <v>266</v>
      </c>
      <c r="AE16" s="815"/>
      <c r="AF16" s="127" t="s">
        <v>267</v>
      </c>
      <c r="AG16" s="128" t="s">
        <v>268</v>
      </c>
      <c r="AH16" s="46"/>
      <c r="AI16" s="44"/>
      <c r="AL16" s="45"/>
      <c r="AM16" s="815" t="s">
        <v>266</v>
      </c>
      <c r="AN16" s="815"/>
      <c r="AO16" s="127" t="s">
        <v>267</v>
      </c>
      <c r="AP16" s="128" t="s">
        <v>268</v>
      </c>
      <c r="AQ16" s="34"/>
      <c r="AR16" s="44"/>
      <c r="AU16" s="319" t="s">
        <v>269</v>
      </c>
      <c r="AV16" s="319" t="s">
        <v>270</v>
      </c>
      <c r="AZ16" s="320" t="s">
        <v>271</v>
      </c>
      <c r="BA16" s="321" t="s">
        <v>272</v>
      </c>
      <c r="BB16" s="321" t="s">
        <v>273</v>
      </c>
      <c r="BD16" s="183"/>
      <c r="BE16" s="183"/>
    </row>
    <row r="17" spans="2:63" ht="70" x14ac:dyDescent="0.3">
      <c r="B17" s="45"/>
      <c r="C17" s="27"/>
      <c r="D17" s="27"/>
      <c r="E17" s="177" t="s">
        <v>274</v>
      </c>
      <c r="F17" s="139">
        <v>0</v>
      </c>
      <c r="G17" s="46"/>
      <c r="H17" s="44"/>
      <c r="I17" s="143"/>
      <c r="K17" s="45"/>
      <c r="L17" s="27"/>
      <c r="M17" s="27"/>
      <c r="N17" s="177" t="s">
        <v>274</v>
      </c>
      <c r="O17" s="139">
        <v>1696.28</v>
      </c>
      <c r="P17" s="46"/>
      <c r="Q17" s="44"/>
      <c r="R17" s="143"/>
      <c r="T17" s="45"/>
      <c r="U17" s="123"/>
      <c r="V17" s="123"/>
      <c r="W17" s="554" t="s">
        <v>274</v>
      </c>
      <c r="X17" s="555">
        <v>0</v>
      </c>
      <c r="Y17" s="46"/>
      <c r="Z17" s="44"/>
      <c r="AB17" s="14"/>
      <c r="AC17" s="45"/>
      <c r="AD17" s="123"/>
      <c r="AE17" s="123"/>
      <c r="AF17" s="554" t="s">
        <v>274</v>
      </c>
      <c r="AG17" s="555">
        <v>30409.68</v>
      </c>
      <c r="AH17" s="46"/>
      <c r="AI17" s="44"/>
      <c r="AL17" s="45"/>
      <c r="AM17" s="123"/>
      <c r="AN17" s="123"/>
      <c r="AO17" s="554" t="s">
        <v>274</v>
      </c>
      <c r="AP17" s="555">
        <v>18158</v>
      </c>
      <c r="AQ17" s="34"/>
      <c r="AR17" s="44"/>
      <c r="AT17" s="148" t="s">
        <v>275</v>
      </c>
      <c r="AU17" s="322">
        <f>+AP17+AG17+X17+O17+F17</f>
        <v>50263.96</v>
      </c>
      <c r="AV17" s="322">
        <v>52300</v>
      </c>
      <c r="AW17" s="322">
        <f>+AV17-AU17</f>
        <v>2036.0400000000009</v>
      </c>
      <c r="AX17" s="323">
        <f>+AW17/AV17</f>
        <v>3.893001912045891E-2</v>
      </c>
      <c r="AY17" s="148" t="s">
        <v>276</v>
      </c>
      <c r="AZ17" s="324">
        <f>2262.11-226.07</f>
        <v>2036.0400000000002</v>
      </c>
      <c r="BA17" s="322">
        <v>2036.04</v>
      </c>
      <c r="BB17" s="322">
        <v>0</v>
      </c>
      <c r="BC17" s="322"/>
      <c r="BD17" s="322"/>
      <c r="BE17" s="322"/>
      <c r="BF17" s="322"/>
      <c r="BG17" s="322"/>
      <c r="BH17" s="322"/>
      <c r="BI17" s="322"/>
      <c r="BJ17" s="322"/>
      <c r="BK17" s="322"/>
    </row>
    <row r="18" spans="2:63" ht="42" x14ac:dyDescent="0.3">
      <c r="B18" s="45"/>
      <c r="C18" s="27"/>
      <c r="D18" s="27"/>
      <c r="E18" s="554" t="s">
        <v>277</v>
      </c>
      <c r="F18" s="556">
        <f>1692.01-0.16</f>
        <v>1691.85</v>
      </c>
      <c r="G18" s="46"/>
      <c r="H18" s="44"/>
      <c r="I18" s="143"/>
      <c r="K18" s="45"/>
      <c r="L18" s="27"/>
      <c r="M18" s="27"/>
      <c r="N18" s="554" t="s">
        <v>277</v>
      </c>
      <c r="O18" s="556">
        <v>2544.42</v>
      </c>
      <c r="P18" s="46"/>
      <c r="Q18" s="44"/>
      <c r="R18" s="143"/>
      <c r="T18" s="45"/>
      <c r="U18" s="123"/>
      <c r="V18" s="123"/>
      <c r="W18" s="554" t="s">
        <v>277</v>
      </c>
      <c r="X18" s="555">
        <v>2566.752</v>
      </c>
      <c r="Y18" s="46"/>
      <c r="Z18" s="44"/>
      <c r="AB18" s="14"/>
      <c r="AC18" s="45"/>
      <c r="AD18" s="123"/>
      <c r="AE18" s="123"/>
      <c r="AF18" s="554" t="s">
        <v>277</v>
      </c>
      <c r="AG18" s="555">
        <v>32778.21</v>
      </c>
      <c r="AH18" s="46"/>
      <c r="AI18" s="44"/>
      <c r="AL18" s="45"/>
      <c r="AM18" s="123"/>
      <c r="AN18" s="123"/>
      <c r="AO18" s="554" t="s">
        <v>277</v>
      </c>
      <c r="AP18" s="555">
        <v>11342</v>
      </c>
      <c r="AQ18" s="34"/>
      <c r="AR18" s="44"/>
      <c r="AT18" s="148" t="s">
        <v>278</v>
      </c>
      <c r="AU18" s="322">
        <f t="shared" ref="AU18:AU23" si="0">+AP18+AG18+X18+O18+F18</f>
        <v>50923.231999999996</v>
      </c>
      <c r="AV18" s="322">
        <v>55000</v>
      </c>
      <c r="AW18" s="322">
        <f t="shared" ref="AW18:AW31" si="1">+AV18-AU18</f>
        <v>4076.7680000000037</v>
      </c>
      <c r="AX18" s="323">
        <f t="shared" ref="AX18:AX31" si="2">+AW18/AV18</f>
        <v>7.4123054545454606E-2</v>
      </c>
      <c r="AY18" s="148"/>
      <c r="AZ18" s="324">
        <f>3850.7+226.07</f>
        <v>4076.77</v>
      </c>
      <c r="BA18" s="322">
        <v>4076.77</v>
      </c>
      <c r="BB18" s="322">
        <v>0</v>
      </c>
      <c r="BC18" s="322"/>
      <c r="BD18" s="322"/>
      <c r="BE18" s="322"/>
      <c r="BF18" s="322"/>
      <c r="BG18" s="322"/>
      <c r="BH18" s="322"/>
      <c r="BI18" s="322"/>
      <c r="BJ18" s="322"/>
      <c r="BK18" s="322"/>
    </row>
    <row r="19" spans="2:63" ht="42" x14ac:dyDescent="0.3">
      <c r="B19" s="45"/>
      <c r="C19" s="27"/>
      <c r="D19" s="27"/>
      <c r="E19" s="554" t="s">
        <v>279</v>
      </c>
      <c r="F19" s="556">
        <f>6768+904.86</f>
        <v>7672.86</v>
      </c>
      <c r="G19" s="46"/>
      <c r="H19" s="44"/>
      <c r="I19" s="143"/>
      <c r="K19" s="45"/>
      <c r="L19" s="27"/>
      <c r="M19" s="27"/>
      <c r="N19" s="554" t="s">
        <v>279</v>
      </c>
      <c r="O19" s="556">
        <v>7915.96</v>
      </c>
      <c r="P19" s="46"/>
      <c r="Q19" s="44"/>
      <c r="R19" s="143"/>
      <c r="T19" s="45"/>
      <c r="U19" s="123"/>
      <c r="V19" s="123"/>
      <c r="W19" s="554" t="s">
        <v>279</v>
      </c>
      <c r="X19" s="555">
        <v>7700.26</v>
      </c>
      <c r="Y19" s="46"/>
      <c r="Z19" s="44"/>
      <c r="AB19" s="14"/>
      <c r="AC19" s="45"/>
      <c r="AD19" s="123"/>
      <c r="AE19" s="123"/>
      <c r="AF19" s="554" t="s">
        <v>279</v>
      </c>
      <c r="AG19" s="555">
        <v>7934.31</v>
      </c>
      <c r="AH19" s="46"/>
      <c r="AI19" s="44"/>
      <c r="AL19" s="45"/>
      <c r="AM19" s="123"/>
      <c r="AN19" s="123"/>
      <c r="AO19" s="554" t="s">
        <v>279</v>
      </c>
      <c r="AP19" s="555">
        <v>1829</v>
      </c>
      <c r="AQ19" s="34"/>
      <c r="AR19" s="44"/>
      <c r="AT19" s="148" t="s">
        <v>280</v>
      </c>
      <c r="AU19" s="322">
        <f t="shared" si="0"/>
        <v>33052.39</v>
      </c>
      <c r="AV19" s="322">
        <v>34300</v>
      </c>
      <c r="AW19" s="322">
        <f t="shared" si="1"/>
        <v>1247.6100000000006</v>
      </c>
      <c r="AX19" s="323">
        <f t="shared" si="2"/>
        <v>3.6373469387755118E-2</v>
      </c>
      <c r="AY19" s="148"/>
      <c r="AZ19" s="324">
        <v>1247.6099999999999</v>
      </c>
      <c r="BA19" s="322">
        <v>1247.6099999999999</v>
      </c>
      <c r="BB19" s="322">
        <v>0</v>
      </c>
      <c r="BC19" s="322"/>
      <c r="BD19" s="322"/>
      <c r="BE19" s="322"/>
      <c r="BF19" s="322"/>
      <c r="BG19" s="322"/>
      <c r="BH19" s="322"/>
      <c r="BI19" s="322"/>
      <c r="BJ19" s="322"/>
      <c r="BK19" s="322"/>
    </row>
    <row r="20" spans="2:63" ht="70" x14ac:dyDescent="0.3">
      <c r="B20" s="45"/>
      <c r="C20" s="27"/>
      <c r="D20" s="27"/>
      <c r="E20" s="554" t="s">
        <v>281</v>
      </c>
      <c r="F20" s="556">
        <f>3234.31-3234.31</f>
        <v>0</v>
      </c>
      <c r="G20" s="46"/>
      <c r="H20" s="44"/>
      <c r="I20" s="143"/>
      <c r="K20" s="45"/>
      <c r="L20" s="27"/>
      <c r="M20" s="27"/>
      <c r="N20" s="554" t="s">
        <v>281</v>
      </c>
      <c r="O20" s="556">
        <v>2261.6999999999998</v>
      </c>
      <c r="P20" s="46"/>
      <c r="Q20" s="44"/>
      <c r="R20" s="143"/>
      <c r="T20" s="45"/>
      <c r="U20" s="123"/>
      <c r="V20" s="123"/>
      <c r="W20" s="554" t="s">
        <v>281</v>
      </c>
      <c r="X20" s="555">
        <v>29644.22</v>
      </c>
      <c r="Y20" s="46"/>
      <c r="Z20" s="44"/>
      <c r="AB20" s="14"/>
      <c r="AC20" s="45"/>
      <c r="AD20" s="123"/>
      <c r="AE20" s="123"/>
      <c r="AF20" s="554" t="s">
        <v>282</v>
      </c>
      <c r="AG20" s="555">
        <v>139481.01999999999</v>
      </c>
      <c r="AH20" s="46"/>
      <c r="AI20" s="44"/>
      <c r="AL20" s="45"/>
      <c r="AM20" s="123"/>
      <c r="AN20" s="123"/>
      <c r="AO20" s="554" t="s">
        <v>282</v>
      </c>
      <c r="AP20" s="555">
        <v>76042</v>
      </c>
      <c r="AQ20" s="34"/>
      <c r="AR20" s="44"/>
      <c r="AT20" s="148" t="s">
        <v>283</v>
      </c>
      <c r="AU20" s="322">
        <f t="shared" si="0"/>
        <v>247428.94</v>
      </c>
      <c r="AV20" s="322">
        <v>263000</v>
      </c>
      <c r="AW20" s="322">
        <f t="shared" si="1"/>
        <v>15571.059999999998</v>
      </c>
      <c r="AX20" s="323">
        <f t="shared" si="2"/>
        <v>5.9205551330798467E-2</v>
      </c>
      <c r="AY20" s="148"/>
      <c r="AZ20" s="325">
        <f>35467.11-19896.05</f>
        <v>15571.060000000001</v>
      </c>
      <c r="BA20" s="322">
        <v>15571.06</v>
      </c>
      <c r="BB20" s="322">
        <v>0</v>
      </c>
      <c r="BC20" s="322"/>
      <c r="BD20" s="322"/>
      <c r="BE20" s="322"/>
      <c r="BF20" s="322"/>
      <c r="BG20" s="322"/>
      <c r="BH20" s="322"/>
      <c r="BI20" s="322"/>
      <c r="BJ20" s="322"/>
      <c r="BK20" s="322"/>
    </row>
    <row r="21" spans="2:63" ht="42" x14ac:dyDescent="0.3">
      <c r="B21" s="45"/>
      <c r="C21" s="27"/>
      <c r="D21" s="27"/>
      <c r="E21" s="554" t="s">
        <v>284</v>
      </c>
      <c r="F21" s="556">
        <f>5358-0.21-5357.79</f>
        <v>0</v>
      </c>
      <c r="G21" s="46"/>
      <c r="H21" s="44"/>
      <c r="I21" s="143"/>
      <c r="K21" s="45"/>
      <c r="L21" s="27"/>
      <c r="M21" s="27"/>
      <c r="N21" s="554" t="s">
        <v>284</v>
      </c>
      <c r="O21" s="556">
        <v>8198.6769999999997</v>
      </c>
      <c r="P21" s="46"/>
      <c r="Q21" s="44"/>
      <c r="R21" s="143"/>
      <c r="T21" s="45"/>
      <c r="U21" s="123"/>
      <c r="V21" s="123"/>
      <c r="W21" s="554" t="s">
        <v>284</v>
      </c>
      <c r="X21" s="555">
        <v>10828.096000000001</v>
      </c>
      <c r="Y21" s="46"/>
      <c r="Z21" s="44"/>
      <c r="AB21" s="14"/>
      <c r="AC21" s="45"/>
      <c r="AD21" s="123"/>
      <c r="AE21" s="123"/>
      <c r="AF21" s="554" t="s">
        <v>284</v>
      </c>
      <c r="AG21" s="555">
        <v>34928.129999999997</v>
      </c>
      <c r="AH21" s="46"/>
      <c r="AI21" s="44"/>
      <c r="AL21" s="45"/>
      <c r="AM21" s="123"/>
      <c r="AN21" s="123"/>
      <c r="AO21" s="554" t="s">
        <v>284</v>
      </c>
      <c r="AP21" s="555">
        <v>15865</v>
      </c>
      <c r="AQ21" s="34"/>
      <c r="AR21" s="44"/>
      <c r="AT21" s="148" t="s">
        <v>285</v>
      </c>
      <c r="AU21" s="322">
        <f t="shared" si="0"/>
        <v>69819.902999999991</v>
      </c>
      <c r="AV21" s="322">
        <v>75200</v>
      </c>
      <c r="AW21" s="322">
        <f t="shared" si="1"/>
        <v>5380.0970000000088</v>
      </c>
      <c r="AX21" s="323">
        <f t="shared" si="2"/>
        <v>7.1543843085106501E-2</v>
      </c>
      <c r="AY21" s="148" t="s">
        <v>276</v>
      </c>
      <c r="AZ21" s="325">
        <f>22.31+5357.79</f>
        <v>5380.1</v>
      </c>
      <c r="BA21" s="322">
        <v>5380.1</v>
      </c>
      <c r="BB21" s="322">
        <v>0</v>
      </c>
      <c r="BC21" s="322"/>
      <c r="BD21" s="322"/>
      <c r="BE21" s="322"/>
      <c r="BF21" s="322"/>
      <c r="BG21" s="322"/>
      <c r="BH21" s="322"/>
      <c r="BI21" s="322"/>
      <c r="BJ21" s="322"/>
      <c r="BK21" s="322"/>
    </row>
    <row r="22" spans="2:63" ht="56" x14ac:dyDescent="0.3">
      <c r="B22" s="45"/>
      <c r="C22" s="27"/>
      <c r="D22" s="27"/>
      <c r="E22" s="554" t="s">
        <v>286</v>
      </c>
      <c r="F22" s="556">
        <f>14100.01+2033.3-14538.26</f>
        <v>1595.0499999999993</v>
      </c>
      <c r="G22" s="46"/>
      <c r="H22" s="44"/>
      <c r="I22" s="143"/>
      <c r="K22" s="45"/>
      <c r="L22" s="27"/>
      <c r="M22" s="27"/>
      <c r="N22" s="554" t="s">
        <v>286</v>
      </c>
      <c r="O22" s="556">
        <v>14135.65</v>
      </c>
      <c r="P22" s="46"/>
      <c r="Q22" s="44"/>
      <c r="R22" s="143"/>
      <c r="T22" s="45"/>
      <c r="U22" s="123"/>
      <c r="V22" s="123"/>
      <c r="W22" s="554" t="s">
        <v>286</v>
      </c>
      <c r="X22" s="555">
        <v>19160.88</v>
      </c>
      <c r="Y22" s="46"/>
      <c r="Z22" s="44"/>
      <c r="AB22" s="14"/>
      <c r="AC22" s="45"/>
      <c r="AD22" s="123"/>
      <c r="AE22" s="123"/>
      <c r="AF22" s="554" t="s">
        <v>287</v>
      </c>
      <c r="AG22" s="555">
        <v>71299.11</v>
      </c>
      <c r="AH22" s="46"/>
      <c r="AI22" s="44"/>
      <c r="AL22" s="45"/>
      <c r="AM22" s="123"/>
      <c r="AN22" s="123"/>
      <c r="AO22" s="554" t="s">
        <v>287</v>
      </c>
      <c r="AP22" s="555">
        <v>29231</v>
      </c>
      <c r="AQ22" s="34"/>
      <c r="AR22" s="44"/>
      <c r="AT22" s="148" t="s">
        <v>288</v>
      </c>
      <c r="AU22" s="322">
        <f t="shared" si="0"/>
        <v>135421.69</v>
      </c>
      <c r="AV22" s="322">
        <v>150000</v>
      </c>
      <c r="AW22" s="322">
        <f t="shared" si="1"/>
        <v>14578.309999999998</v>
      </c>
      <c r="AX22" s="323">
        <f t="shared" si="2"/>
        <v>9.7188733333333319E-2</v>
      </c>
      <c r="AY22" s="148"/>
      <c r="AZ22" s="325">
        <f>40.05+14538.26</f>
        <v>14578.31</v>
      </c>
      <c r="BA22" s="322">
        <v>0</v>
      </c>
      <c r="BB22" s="322">
        <v>14578.31</v>
      </c>
      <c r="BC22" s="322"/>
      <c r="BD22" s="322"/>
      <c r="BE22" s="322"/>
      <c r="BF22" s="322"/>
      <c r="BG22" s="322"/>
      <c r="BH22" s="322"/>
      <c r="BI22" s="322"/>
      <c r="BJ22" s="322"/>
      <c r="BK22" s="322"/>
    </row>
    <row r="23" spans="2:63" ht="42" x14ac:dyDescent="0.3">
      <c r="B23" s="45"/>
      <c r="C23" s="27"/>
      <c r="D23" s="27"/>
      <c r="E23" s="554" t="s">
        <v>289</v>
      </c>
      <c r="F23" s="556">
        <f>423.57+13.99</f>
        <v>437.56</v>
      </c>
      <c r="G23" s="46"/>
      <c r="H23" s="44"/>
      <c r="I23" s="143"/>
      <c r="K23" s="45"/>
      <c r="L23" s="27"/>
      <c r="M23" s="27"/>
      <c r="N23" s="554" t="s">
        <v>289</v>
      </c>
      <c r="O23" s="556">
        <v>3706.83</v>
      </c>
      <c r="P23" s="46"/>
      <c r="Q23" s="44"/>
      <c r="R23" s="143"/>
      <c r="T23" s="45"/>
      <c r="U23" s="123"/>
      <c r="V23" s="123"/>
      <c r="W23" s="554" t="s">
        <v>289</v>
      </c>
      <c r="X23" s="555">
        <v>4882.68</v>
      </c>
      <c r="Y23" s="46"/>
      <c r="Z23" s="44"/>
      <c r="AB23" s="14"/>
      <c r="AC23" s="45"/>
      <c r="AD23" s="123"/>
      <c r="AE23" s="123"/>
      <c r="AF23" s="554" t="s">
        <v>289</v>
      </c>
      <c r="AG23" s="555">
        <v>13338.14</v>
      </c>
      <c r="AH23" s="46"/>
      <c r="AI23" s="44"/>
      <c r="AL23" s="45"/>
      <c r="AM23" s="123"/>
      <c r="AN23" s="123"/>
      <c r="AO23" s="554" t="s">
        <v>289</v>
      </c>
      <c r="AP23" s="555">
        <v>5898</v>
      </c>
      <c r="AQ23" s="34"/>
      <c r="AR23" s="44"/>
      <c r="AT23" s="148" t="s">
        <v>290</v>
      </c>
      <c r="AU23" s="322">
        <f t="shared" si="0"/>
        <v>28263.210000000003</v>
      </c>
      <c r="AV23" s="322">
        <v>35000</v>
      </c>
      <c r="AW23" s="322">
        <f t="shared" si="1"/>
        <v>6736.7899999999972</v>
      </c>
      <c r="AX23" s="323">
        <f t="shared" si="2"/>
        <v>0.1924797142857142</v>
      </c>
      <c r="AY23" s="148"/>
      <c r="AZ23" s="324">
        <v>6736.79</v>
      </c>
      <c r="BA23" s="322">
        <v>6736.79</v>
      </c>
      <c r="BB23" s="322">
        <v>0</v>
      </c>
      <c r="BC23" s="322"/>
      <c r="BD23" s="322"/>
      <c r="BE23" s="322"/>
      <c r="BF23" s="322"/>
      <c r="BG23" s="322"/>
      <c r="BH23" s="322"/>
      <c r="BI23" s="322"/>
      <c r="BJ23" s="322"/>
      <c r="BK23" s="322"/>
    </row>
    <row r="24" spans="2:63" ht="84" x14ac:dyDescent="0.3">
      <c r="B24" s="45"/>
      <c r="C24" s="27"/>
      <c r="D24" s="27"/>
      <c r="E24" s="554" t="s">
        <v>291</v>
      </c>
      <c r="F24" s="556">
        <f>346471.34+21893.92</f>
        <v>368365.26</v>
      </c>
      <c r="G24" s="46"/>
      <c r="H24" s="44"/>
      <c r="I24" s="143"/>
      <c r="K24" s="45"/>
      <c r="L24" s="27"/>
      <c r="M24" s="27"/>
      <c r="N24" s="554" t="s">
        <v>291</v>
      </c>
      <c r="O24" s="556">
        <v>78446.06</v>
      </c>
      <c r="P24" s="46"/>
      <c r="Q24" s="44"/>
      <c r="R24" s="143"/>
      <c r="T24" s="45"/>
      <c r="U24" s="123"/>
      <c r="V24" s="123"/>
      <c r="W24" s="554" t="s">
        <v>291</v>
      </c>
      <c r="X24" s="555">
        <v>30502.51</v>
      </c>
      <c r="Y24" s="46"/>
      <c r="Z24" s="44"/>
      <c r="AB24" s="14"/>
      <c r="AC24" s="45"/>
      <c r="AD24" s="123"/>
      <c r="AE24" s="123"/>
      <c r="AF24" s="554" t="s">
        <v>292</v>
      </c>
      <c r="AG24" s="555">
        <v>13338.14</v>
      </c>
      <c r="AH24" s="46"/>
      <c r="AI24" s="44"/>
      <c r="AL24" s="45"/>
      <c r="AM24" s="123"/>
      <c r="AN24" s="123"/>
      <c r="AO24" s="554" t="s">
        <v>292</v>
      </c>
      <c r="AP24" s="555">
        <v>5898</v>
      </c>
      <c r="AQ24" s="34"/>
      <c r="AR24" s="44"/>
      <c r="AT24" s="148" t="s">
        <v>293</v>
      </c>
      <c r="AU24" s="322">
        <f>+AP24+AP25+AG24+AG25+X24+O24+F24</f>
        <v>535022.25</v>
      </c>
      <c r="AV24" s="322">
        <v>600000</v>
      </c>
      <c r="AW24" s="322">
        <f t="shared" si="1"/>
        <v>64977.75</v>
      </c>
      <c r="AX24" s="323">
        <f t="shared" si="2"/>
        <v>0.10829625</v>
      </c>
      <c r="AY24" s="148"/>
      <c r="AZ24" s="324">
        <f>1449.48+63528.27</f>
        <v>64977.75</v>
      </c>
      <c r="BA24" s="322">
        <v>63624.76</v>
      </c>
      <c r="BB24" s="322">
        <v>1352.99</v>
      </c>
      <c r="BC24" s="326"/>
      <c r="BD24" s="322"/>
      <c r="BE24" s="322"/>
      <c r="BF24" s="322"/>
      <c r="BG24" s="322"/>
      <c r="BH24" s="322"/>
      <c r="BI24" s="322"/>
      <c r="BJ24" s="322"/>
      <c r="BK24" s="322"/>
    </row>
    <row r="25" spans="2:63" ht="42" x14ac:dyDescent="0.3">
      <c r="B25" s="45"/>
      <c r="C25" s="27"/>
      <c r="D25" s="27"/>
      <c r="E25" s="554" t="s">
        <v>294</v>
      </c>
      <c r="F25" s="556">
        <f>4690.59+7800.55</f>
        <v>12491.14</v>
      </c>
      <c r="G25" s="46"/>
      <c r="H25" s="44"/>
      <c r="I25" s="143"/>
      <c r="K25" s="45"/>
      <c r="L25" s="27"/>
      <c r="M25" s="27"/>
      <c r="N25" s="554" t="s">
        <v>294</v>
      </c>
      <c r="O25" s="556">
        <v>19755.87</v>
      </c>
      <c r="P25" s="46"/>
      <c r="Q25" s="44"/>
      <c r="R25" s="143"/>
      <c r="T25" s="45"/>
      <c r="U25" s="123"/>
      <c r="V25" s="123"/>
      <c r="W25" s="554" t="s">
        <v>294</v>
      </c>
      <c r="X25" s="555">
        <v>20406.21</v>
      </c>
      <c r="Y25" s="46"/>
      <c r="Z25" s="44"/>
      <c r="AB25" s="14"/>
      <c r="AC25" s="45"/>
      <c r="AD25" s="123"/>
      <c r="AE25" s="123"/>
      <c r="AF25" s="554" t="s">
        <v>295</v>
      </c>
      <c r="AG25" s="555">
        <v>26676.28</v>
      </c>
      <c r="AH25" s="46"/>
      <c r="AI25" s="44"/>
      <c r="AL25" s="45"/>
      <c r="AM25" s="123"/>
      <c r="AN25" s="123"/>
      <c r="AO25" s="554" t="s">
        <v>295</v>
      </c>
      <c r="AP25" s="555">
        <v>11796</v>
      </c>
      <c r="AQ25" s="34"/>
      <c r="AR25" s="44"/>
      <c r="AT25" s="148" t="s">
        <v>296</v>
      </c>
      <c r="AU25" s="322">
        <f>+AG26+X25+O25+F25</f>
        <v>55297.77</v>
      </c>
      <c r="AV25" s="322">
        <v>140200</v>
      </c>
      <c r="AW25" s="322">
        <f t="shared" si="1"/>
        <v>84902.23000000001</v>
      </c>
      <c r="AX25" s="323">
        <f t="shared" si="2"/>
        <v>0.60557938659058497</v>
      </c>
      <c r="AY25" s="148"/>
      <c r="AZ25" s="324">
        <f>16977.23+67925</f>
        <v>84902.23</v>
      </c>
      <c r="BA25" s="322">
        <v>15000</v>
      </c>
      <c r="BB25" s="322">
        <v>69902.23</v>
      </c>
      <c r="BC25" s="326"/>
      <c r="BD25" s="322"/>
      <c r="BE25" s="322"/>
      <c r="BF25" s="322"/>
      <c r="BG25" s="322"/>
      <c r="BH25" s="322"/>
      <c r="BI25" s="322"/>
      <c r="BJ25" s="322"/>
      <c r="BK25" s="322"/>
    </row>
    <row r="26" spans="2:63" ht="42" x14ac:dyDescent="0.3">
      <c r="B26" s="45"/>
      <c r="C26" s="27"/>
      <c r="D26" s="27"/>
      <c r="E26" s="554" t="s">
        <v>297</v>
      </c>
      <c r="F26" s="556">
        <v>3344</v>
      </c>
      <c r="G26" s="46"/>
      <c r="H26" s="44"/>
      <c r="I26" s="143"/>
      <c r="K26" s="45"/>
      <c r="L26" s="27"/>
      <c r="M26" s="27"/>
      <c r="N26" s="554" t="s">
        <v>297</v>
      </c>
      <c r="O26" s="556">
        <v>22372.99</v>
      </c>
      <c r="P26" s="46"/>
      <c r="Q26" s="44"/>
      <c r="R26" s="143"/>
      <c r="T26" s="45"/>
      <c r="U26" s="123"/>
      <c r="V26" s="123"/>
      <c r="W26" s="554" t="s">
        <v>297</v>
      </c>
      <c r="X26" s="555">
        <v>123534.88</v>
      </c>
      <c r="Y26" s="46"/>
      <c r="Z26" s="44"/>
      <c r="AB26" s="14"/>
      <c r="AC26" s="45"/>
      <c r="AD26" s="123"/>
      <c r="AE26" s="123"/>
      <c r="AF26" s="554" t="s">
        <v>298</v>
      </c>
      <c r="AG26" s="555">
        <v>2644.55</v>
      </c>
      <c r="AH26" s="46"/>
      <c r="AI26" s="44"/>
      <c r="AL26" s="45"/>
      <c r="AM26" s="123"/>
      <c r="AN26" s="123"/>
      <c r="AO26" s="554" t="s">
        <v>298</v>
      </c>
      <c r="AP26" s="555">
        <v>0</v>
      </c>
      <c r="AQ26" s="34"/>
      <c r="AR26" s="44"/>
      <c r="AT26" s="148" t="s">
        <v>299</v>
      </c>
      <c r="AU26" s="322">
        <f>+AG27+X26+O26+F26</f>
        <v>235567.44</v>
      </c>
      <c r="AV26" s="322">
        <v>319000</v>
      </c>
      <c r="AW26" s="322">
        <f t="shared" si="1"/>
        <v>83432.56</v>
      </c>
      <c r="AX26" s="323">
        <f t="shared" si="2"/>
        <v>0.2615440752351097</v>
      </c>
      <c r="AY26" s="148"/>
      <c r="AZ26" s="324">
        <v>83432.56</v>
      </c>
      <c r="BA26" s="322">
        <v>52657.55</v>
      </c>
      <c r="BB26" s="322">
        <v>20775.009999999998</v>
      </c>
      <c r="BC26" s="322"/>
      <c r="BD26" s="322"/>
      <c r="BE26" s="322"/>
      <c r="BF26" s="322"/>
      <c r="BG26" s="322"/>
      <c r="BH26" s="322"/>
      <c r="BI26" s="322"/>
      <c r="BJ26" s="322"/>
      <c r="BK26" s="322"/>
    </row>
    <row r="27" spans="2:63" ht="70" x14ac:dyDescent="0.3">
      <c r="B27" s="45"/>
      <c r="C27" s="27"/>
      <c r="D27" s="27"/>
      <c r="E27" s="557" t="s">
        <v>300</v>
      </c>
      <c r="F27" s="556">
        <f>1536762.09+62838.99</f>
        <v>1599601.08</v>
      </c>
      <c r="G27" s="46"/>
      <c r="H27" s="44"/>
      <c r="I27" s="143"/>
      <c r="K27" s="45"/>
      <c r="L27" s="27"/>
      <c r="M27" s="27"/>
      <c r="N27" s="557" t="s">
        <v>300</v>
      </c>
      <c r="O27" s="556">
        <f>632526.46-15944.7</f>
        <v>616581.76</v>
      </c>
      <c r="P27" s="46"/>
      <c r="Q27" s="44"/>
      <c r="R27" s="143"/>
      <c r="T27" s="45"/>
      <c r="U27" s="123"/>
      <c r="V27" s="123"/>
      <c r="W27" s="557" t="s">
        <v>300</v>
      </c>
      <c r="X27" s="555">
        <v>213703.34</v>
      </c>
      <c r="Y27" s="46"/>
      <c r="Z27" s="44"/>
      <c r="AB27" s="14"/>
      <c r="AC27" s="45"/>
      <c r="AD27" s="123"/>
      <c r="AE27" s="123"/>
      <c r="AF27" s="554" t="s">
        <v>297</v>
      </c>
      <c r="AG27" s="555">
        <v>86315.57</v>
      </c>
      <c r="AH27" s="46"/>
      <c r="AI27" s="44"/>
      <c r="AL27" s="45"/>
      <c r="AM27" s="123"/>
      <c r="AN27" s="123"/>
      <c r="AO27" s="554" t="s">
        <v>297</v>
      </c>
      <c r="AP27" s="555">
        <v>0</v>
      </c>
      <c r="AQ27" s="34"/>
      <c r="AR27" s="44"/>
      <c r="AT27" s="148" t="s">
        <v>301</v>
      </c>
      <c r="AU27" s="322">
        <f>+X27+O27+F27</f>
        <v>2429886.1800000002</v>
      </c>
      <c r="AV27" s="322">
        <v>3797000</v>
      </c>
      <c r="AW27" s="322">
        <f t="shared" si="1"/>
        <v>1367113.8199999998</v>
      </c>
      <c r="AX27" s="323">
        <f t="shared" si="2"/>
        <v>0.36005104556228595</v>
      </c>
      <c r="AY27" s="148"/>
      <c r="AZ27" s="324">
        <v>1367113.82</v>
      </c>
      <c r="BA27" s="322">
        <v>1353570.43</v>
      </c>
      <c r="BB27" s="322">
        <v>13543.39</v>
      </c>
      <c r="BC27" s="322"/>
      <c r="BD27" s="322"/>
      <c r="BE27" s="322"/>
      <c r="BF27" s="322"/>
      <c r="BG27" s="322"/>
      <c r="BH27" s="322"/>
      <c r="BI27" s="322"/>
      <c r="BJ27" s="322"/>
      <c r="BK27" s="322"/>
    </row>
    <row r="28" spans="2:63" ht="42" x14ac:dyDescent="0.3">
      <c r="B28" s="45"/>
      <c r="C28" s="27"/>
      <c r="D28" s="27"/>
      <c r="E28" s="554" t="s">
        <v>302</v>
      </c>
      <c r="F28" s="556">
        <v>0</v>
      </c>
      <c r="G28" s="46"/>
      <c r="H28" s="44"/>
      <c r="I28" s="143"/>
      <c r="K28" s="45"/>
      <c r="L28" s="27"/>
      <c r="M28" s="27"/>
      <c r="N28" s="554" t="s">
        <v>302</v>
      </c>
      <c r="O28" s="556">
        <v>0</v>
      </c>
      <c r="P28" s="46"/>
      <c r="Q28" s="44"/>
      <c r="R28" s="143"/>
      <c r="T28" s="45"/>
      <c r="U28" s="123"/>
      <c r="V28" s="123"/>
      <c r="W28" s="554" t="s">
        <v>302</v>
      </c>
      <c r="X28" s="555">
        <v>0</v>
      </c>
      <c r="Y28" s="46"/>
      <c r="Z28" s="44"/>
      <c r="AB28" s="14"/>
      <c r="AC28" s="45"/>
      <c r="AD28" s="123"/>
      <c r="AE28" s="123"/>
      <c r="AF28" s="554" t="s">
        <v>303</v>
      </c>
      <c r="AG28" s="555">
        <v>0</v>
      </c>
      <c r="AH28" s="46"/>
      <c r="AI28" s="44"/>
      <c r="AL28" s="45"/>
      <c r="AM28" s="123"/>
      <c r="AN28" s="123"/>
      <c r="AO28" s="558" t="s">
        <v>303</v>
      </c>
      <c r="AP28" s="555">
        <v>0</v>
      </c>
      <c r="AQ28" s="34"/>
      <c r="AR28" s="44"/>
      <c r="AT28" s="148" t="s">
        <v>304</v>
      </c>
      <c r="AU28" s="322">
        <f>+F28</f>
        <v>0</v>
      </c>
      <c r="AV28" s="322">
        <v>579000</v>
      </c>
      <c r="AW28" s="322">
        <f t="shared" si="1"/>
        <v>579000</v>
      </c>
      <c r="AX28" s="323">
        <f t="shared" si="2"/>
        <v>1</v>
      </c>
      <c r="AY28" s="148"/>
      <c r="AZ28" s="324">
        <v>579000</v>
      </c>
      <c r="BA28" s="322">
        <v>557145.14</v>
      </c>
      <c r="BB28" s="322">
        <v>21854.86</v>
      </c>
      <c r="BC28" s="326"/>
      <c r="BD28" s="322"/>
      <c r="BE28" s="322"/>
      <c r="BF28" s="322"/>
      <c r="BG28" s="322"/>
      <c r="BH28" s="322"/>
      <c r="BI28" s="322"/>
      <c r="BJ28" s="322"/>
      <c r="BK28" s="322"/>
    </row>
    <row r="29" spans="2:63" ht="56" x14ac:dyDescent="0.3">
      <c r="B29" s="45"/>
      <c r="C29" s="27"/>
      <c r="D29" s="27"/>
      <c r="E29" s="554" t="s">
        <v>305</v>
      </c>
      <c r="F29" s="556">
        <v>0</v>
      </c>
      <c r="G29" s="46"/>
      <c r="H29" s="44"/>
      <c r="I29" s="143"/>
      <c r="K29" s="45"/>
      <c r="L29" s="27"/>
      <c r="M29" s="27"/>
      <c r="N29" s="554" t="s">
        <v>305</v>
      </c>
      <c r="O29" s="556">
        <v>4257.8999999999996</v>
      </c>
      <c r="P29" s="46"/>
      <c r="Q29" s="44"/>
      <c r="R29" s="143"/>
      <c r="T29" s="45"/>
      <c r="U29" s="123"/>
      <c r="V29" s="123"/>
      <c r="W29" s="554" t="s">
        <v>305</v>
      </c>
      <c r="X29" s="555">
        <v>3188.1500000000005</v>
      </c>
      <c r="Y29" s="46"/>
      <c r="Z29" s="44"/>
      <c r="AB29" s="14"/>
      <c r="AC29" s="45"/>
      <c r="AD29" s="123"/>
      <c r="AE29" s="123"/>
      <c r="AF29" s="554" t="s">
        <v>306</v>
      </c>
      <c r="AG29" s="555">
        <v>0</v>
      </c>
      <c r="AH29" s="46"/>
      <c r="AI29" s="44"/>
      <c r="AL29" s="45"/>
      <c r="AM29" s="123"/>
      <c r="AN29" s="123"/>
      <c r="AO29" s="558" t="s">
        <v>306</v>
      </c>
      <c r="AP29" s="555">
        <v>0</v>
      </c>
      <c r="AQ29" s="34"/>
      <c r="AR29" s="44"/>
      <c r="AT29" s="148" t="s">
        <v>307</v>
      </c>
      <c r="AU29" s="322">
        <f>+X29+O29+F29</f>
        <v>7446.05</v>
      </c>
      <c r="AV29" s="322">
        <v>104000</v>
      </c>
      <c r="AW29" s="322">
        <f>+AV29-AU29</f>
        <v>96553.95</v>
      </c>
      <c r="AX29" s="323">
        <f t="shared" si="2"/>
        <v>0.92840336538461532</v>
      </c>
      <c r="AY29" s="148"/>
      <c r="AZ29" s="324">
        <f>96609.05-55.1</f>
        <v>96553.95</v>
      </c>
      <c r="BA29" s="322">
        <v>84408.81</v>
      </c>
      <c r="BB29" s="322">
        <v>12145.14</v>
      </c>
      <c r="BC29" s="322"/>
      <c r="BD29" s="322"/>
      <c r="BE29" s="322"/>
      <c r="BF29" s="322"/>
      <c r="BG29" s="322"/>
      <c r="BH29" s="322"/>
      <c r="BI29" s="322"/>
      <c r="BJ29" s="322"/>
      <c r="BK29" s="322"/>
    </row>
    <row r="30" spans="2:63" ht="28" x14ac:dyDescent="0.3">
      <c r="B30" s="45"/>
      <c r="C30" s="27"/>
      <c r="D30" s="27"/>
      <c r="E30" s="554" t="s">
        <v>308</v>
      </c>
      <c r="F30" s="556">
        <f>4560-55.1</f>
        <v>4504.8999999999996</v>
      </c>
      <c r="G30" s="46"/>
      <c r="H30" s="44"/>
      <c r="I30" s="143"/>
      <c r="K30" s="45"/>
      <c r="L30" s="27"/>
      <c r="M30" s="27"/>
      <c r="N30" s="554" t="s">
        <v>308</v>
      </c>
      <c r="O30" s="556">
        <v>0</v>
      </c>
      <c r="P30" s="46"/>
      <c r="Q30" s="44"/>
      <c r="R30" s="143"/>
      <c r="T30" s="45"/>
      <c r="U30" s="123"/>
      <c r="V30" s="123"/>
      <c r="W30" s="554" t="s">
        <v>308</v>
      </c>
      <c r="X30" s="555">
        <v>0</v>
      </c>
      <c r="Y30" s="46"/>
      <c r="Z30" s="44"/>
      <c r="AB30" s="14"/>
      <c r="AC30" s="45"/>
      <c r="AD30" s="123"/>
      <c r="AE30" s="123"/>
      <c r="AF30" s="554" t="s">
        <v>309</v>
      </c>
      <c r="AG30" s="555">
        <v>0</v>
      </c>
      <c r="AH30" s="46"/>
      <c r="AI30" s="44"/>
      <c r="AL30" s="45"/>
      <c r="AM30" s="123"/>
      <c r="AN30" s="123"/>
      <c r="AO30" s="558" t="s">
        <v>309</v>
      </c>
      <c r="AP30" s="555">
        <v>0</v>
      </c>
      <c r="AQ30" s="34"/>
      <c r="AR30" s="44"/>
      <c r="AT30" s="148" t="s">
        <v>310</v>
      </c>
      <c r="AU30" s="322">
        <f>+AG33+F30</f>
        <v>7856.9</v>
      </c>
      <c r="AV30" s="322">
        <v>125200</v>
      </c>
      <c r="AW30" s="322">
        <f t="shared" si="1"/>
        <v>117343.1</v>
      </c>
      <c r="AX30" s="323">
        <f t="shared" si="2"/>
        <v>0.93724520766773167</v>
      </c>
      <c r="AY30" s="148"/>
      <c r="AZ30" s="324">
        <f>117288+55.1</f>
        <v>117343.1</v>
      </c>
      <c r="BA30" s="322">
        <v>97343.1</v>
      </c>
      <c r="BB30" s="322">
        <v>20000</v>
      </c>
      <c r="BC30" s="322"/>
      <c r="BD30" s="322"/>
      <c r="BE30" s="322"/>
      <c r="BF30" s="322"/>
      <c r="BG30" s="322"/>
      <c r="BH30" s="322"/>
      <c r="BI30" s="322"/>
      <c r="BJ30" s="322"/>
      <c r="BK30" s="322"/>
    </row>
    <row r="31" spans="2:63" ht="42.5" thickBot="1" x14ac:dyDescent="0.35">
      <c r="B31" s="45"/>
      <c r="C31" s="27"/>
      <c r="D31" s="27"/>
      <c r="E31" s="559" t="s">
        <v>311</v>
      </c>
      <c r="F31" s="556">
        <v>33989.699999999997</v>
      </c>
      <c r="G31" s="46"/>
      <c r="H31" s="44"/>
      <c r="I31" s="143"/>
      <c r="K31" s="45"/>
      <c r="L31" s="27"/>
      <c r="M31" s="27"/>
      <c r="N31" s="559" t="s">
        <v>311</v>
      </c>
      <c r="O31" s="556">
        <v>71966.03</v>
      </c>
      <c r="P31" s="46"/>
      <c r="Q31" s="44"/>
      <c r="R31" s="143"/>
      <c r="T31" s="45"/>
      <c r="U31" s="123"/>
      <c r="V31" s="123"/>
      <c r="W31" s="559" t="s">
        <v>311</v>
      </c>
      <c r="X31" s="560">
        <v>97328.739999999991</v>
      </c>
      <c r="Y31" s="46"/>
      <c r="Z31" s="44"/>
      <c r="AB31" s="14"/>
      <c r="AC31" s="45"/>
      <c r="AD31" s="123"/>
      <c r="AE31" s="123"/>
      <c r="AF31" s="554"/>
      <c r="AG31" s="555"/>
      <c r="AH31" s="46"/>
      <c r="AI31" s="44"/>
      <c r="AL31" s="45"/>
      <c r="AM31" s="123"/>
      <c r="AN31" s="123"/>
      <c r="AO31" s="554" t="s">
        <v>312</v>
      </c>
      <c r="AP31" s="555">
        <v>0</v>
      </c>
      <c r="AQ31" s="34"/>
      <c r="AR31" s="44"/>
      <c r="AT31" s="148" t="s">
        <v>313</v>
      </c>
      <c r="AU31" s="322">
        <f>+AP34+AG34+X31+O31+F31</f>
        <v>418396.66</v>
      </c>
      <c r="AV31" s="322">
        <v>632920</v>
      </c>
      <c r="AW31" s="322">
        <f t="shared" si="1"/>
        <v>214523.34000000003</v>
      </c>
      <c r="AX31" s="323">
        <f t="shared" si="2"/>
        <v>0.33894226758516088</v>
      </c>
      <c r="AY31" s="148"/>
      <c r="AZ31" s="324">
        <f>+AW31</f>
        <v>214523.34000000003</v>
      </c>
      <c r="BA31" s="322">
        <v>143015.56000000003</v>
      </c>
      <c r="BB31" s="322">
        <v>71507.780000000013</v>
      </c>
      <c r="BC31" s="322"/>
      <c r="BD31" s="322"/>
      <c r="BE31" s="322"/>
      <c r="BF31" s="322"/>
      <c r="BG31" s="322"/>
      <c r="BH31" s="322"/>
      <c r="BI31" s="322"/>
      <c r="BJ31" s="322"/>
      <c r="BK31" s="322"/>
    </row>
    <row r="32" spans="2:63" ht="56.5" thickBot="1" x14ac:dyDescent="0.35">
      <c r="B32" s="45"/>
      <c r="C32" s="27"/>
      <c r="D32" s="27"/>
      <c r="E32" s="87" t="s">
        <v>314</v>
      </c>
      <c r="F32" s="140">
        <f>SUM(F17:F31)</f>
        <v>2033693.4</v>
      </c>
      <c r="G32" s="46"/>
      <c r="H32" s="44"/>
      <c r="I32" s="143"/>
      <c r="K32" s="45"/>
      <c r="L32" s="27"/>
      <c r="M32" s="27"/>
      <c r="N32" s="87" t="s">
        <v>314</v>
      </c>
      <c r="O32" s="140">
        <f>SUM(O17:O31)</f>
        <v>853840.12699999998</v>
      </c>
      <c r="P32" s="46"/>
      <c r="Q32" s="44"/>
      <c r="R32" s="143"/>
      <c r="T32" s="45"/>
      <c r="U32" s="123"/>
      <c r="V32" s="123"/>
      <c r="W32" s="129" t="s">
        <v>314</v>
      </c>
      <c r="X32" s="130">
        <f>SUM(X17:X31)</f>
        <v>563446.71799999999</v>
      </c>
      <c r="Y32" s="46"/>
      <c r="Z32" s="44"/>
      <c r="AB32" s="14"/>
      <c r="AC32" s="45"/>
      <c r="AD32" s="123"/>
      <c r="AE32" s="123"/>
      <c r="AF32" s="554" t="s">
        <v>305</v>
      </c>
      <c r="AG32" s="555">
        <v>0</v>
      </c>
      <c r="AH32" s="46"/>
      <c r="AI32" s="44"/>
      <c r="AL32" s="45"/>
      <c r="AM32" s="123"/>
      <c r="AN32" s="123"/>
      <c r="AO32" s="554" t="s">
        <v>305</v>
      </c>
      <c r="AP32" s="555">
        <v>0</v>
      </c>
      <c r="AQ32" s="34"/>
      <c r="AR32" s="44"/>
      <c r="AT32" s="148" t="s">
        <v>315</v>
      </c>
      <c r="AU32" s="322">
        <f>+AP35+AG35+X32+O32+F32</f>
        <v>4304646.5749999993</v>
      </c>
      <c r="AV32" s="322">
        <f>SUM(AV17:AV31)</f>
        <v>6962120</v>
      </c>
      <c r="AW32" s="322">
        <f>SUM(AW17:AW31)</f>
        <v>2657473.4250000003</v>
      </c>
      <c r="AZ32" s="324">
        <f>SUM(AZ17:AZ31)</f>
        <v>2657473.4300000002</v>
      </c>
      <c r="BA32" s="324">
        <f t="shared" ref="BA32:BB32" si="3">SUM(BA17:BA31)</f>
        <v>2401813.7200000002</v>
      </c>
      <c r="BB32" s="324">
        <f t="shared" si="3"/>
        <v>245659.71000000002</v>
      </c>
      <c r="BC32" s="322"/>
      <c r="BD32" s="322"/>
      <c r="BE32" s="322"/>
      <c r="BF32" s="322"/>
      <c r="BG32" s="322"/>
      <c r="BH32" s="322"/>
      <c r="BI32" s="322"/>
      <c r="BJ32" s="322"/>
      <c r="BK32" s="322"/>
    </row>
    <row r="33" spans="2:63" ht="28.5" thickBot="1" x14ac:dyDescent="0.35">
      <c r="B33" s="45"/>
      <c r="C33" s="27"/>
      <c r="D33" s="27"/>
      <c r="E33" s="46"/>
      <c r="F33" s="145">
        <f>+F32-F31</f>
        <v>1999703.7</v>
      </c>
      <c r="G33" s="46"/>
      <c r="H33" s="44"/>
      <c r="I33" s="143"/>
      <c r="K33" s="45"/>
      <c r="L33" s="27"/>
      <c r="M33" s="27"/>
      <c r="N33" s="46"/>
      <c r="O33" s="145">
        <f>+O32-O31</f>
        <v>781874.09699999995</v>
      </c>
      <c r="P33" s="46"/>
      <c r="Q33" s="44"/>
      <c r="R33" s="143"/>
      <c r="T33" s="47"/>
      <c r="U33" s="28"/>
      <c r="V33" s="28"/>
      <c r="W33" s="29"/>
      <c r="X33" s="29"/>
      <c r="Y33" s="29"/>
      <c r="Z33" s="49"/>
      <c r="AB33" s="14"/>
      <c r="AC33" s="45"/>
      <c r="AD33" s="123"/>
      <c r="AE33" s="123"/>
      <c r="AF33" s="554" t="s">
        <v>308</v>
      </c>
      <c r="AG33" s="555">
        <v>3352</v>
      </c>
      <c r="AH33" s="46"/>
      <c r="AI33" s="44"/>
      <c r="AL33" s="45"/>
      <c r="AM33" s="123"/>
      <c r="AN33" s="123"/>
      <c r="AO33" s="554" t="s">
        <v>308</v>
      </c>
      <c r="AP33" s="555">
        <v>0</v>
      </c>
      <c r="AQ33" s="34"/>
      <c r="AR33" s="44"/>
      <c r="AU33" s="322"/>
      <c r="AV33" s="322"/>
      <c r="AW33" s="322"/>
      <c r="AZ33" s="322"/>
      <c r="BA33" s="322"/>
      <c r="BB33" s="322"/>
      <c r="BC33" s="322"/>
      <c r="BD33" s="322"/>
      <c r="BE33" s="322"/>
      <c r="BF33" s="322"/>
      <c r="BG33" s="322"/>
      <c r="BH33" s="322"/>
      <c r="BI33" s="322"/>
      <c r="BJ33" s="322"/>
      <c r="BK33" s="322"/>
    </row>
    <row r="34" spans="2:63" ht="34.5" customHeight="1" thickBot="1" x14ac:dyDescent="0.35">
      <c r="B34" s="45"/>
      <c r="C34" s="794" t="s">
        <v>316</v>
      </c>
      <c r="D34" s="794"/>
      <c r="E34" s="46"/>
      <c r="F34" s="46"/>
      <c r="G34" s="46"/>
      <c r="H34" s="44"/>
      <c r="I34" s="143"/>
      <c r="K34" s="45"/>
      <c r="L34" s="794" t="s">
        <v>316</v>
      </c>
      <c r="M34" s="794"/>
      <c r="N34" s="46"/>
      <c r="O34" s="46"/>
      <c r="P34" s="46"/>
      <c r="Q34" s="44"/>
      <c r="R34" s="143"/>
      <c r="T34" s="527"/>
      <c r="V34" s="131"/>
      <c r="W34" s="15"/>
      <c r="X34" s="137">
        <f>+AP35+AG35+X32</f>
        <v>1417113.048</v>
      </c>
      <c r="Y34" s="7"/>
      <c r="AB34" s="14"/>
      <c r="AC34" s="45"/>
      <c r="AD34" s="123"/>
      <c r="AE34" s="123"/>
      <c r="AF34" s="559" t="s">
        <v>311</v>
      </c>
      <c r="AG34" s="560">
        <v>98523.590000000011</v>
      </c>
      <c r="AH34" s="46"/>
      <c r="AI34" s="44"/>
      <c r="AL34" s="45"/>
      <c r="AM34" s="123"/>
      <c r="AN34" s="123"/>
      <c r="AO34" s="559" t="s">
        <v>311</v>
      </c>
      <c r="AP34" s="560">
        <v>116588.6</v>
      </c>
      <c r="AQ34" s="34"/>
      <c r="AR34" s="44"/>
      <c r="AU34" s="326"/>
      <c r="AV34" s="322"/>
      <c r="AW34" s="322"/>
      <c r="AX34" s="148"/>
      <c r="AZ34" s="322"/>
      <c r="BA34" s="322"/>
      <c r="BB34" s="322"/>
      <c r="BC34" s="322"/>
      <c r="BD34" s="322"/>
      <c r="BE34" s="322"/>
      <c r="BF34" s="322"/>
      <c r="BG34" s="322"/>
      <c r="BH34" s="322"/>
      <c r="BI34" s="322"/>
      <c r="BJ34" s="322"/>
      <c r="BK34" s="322"/>
    </row>
    <row r="35" spans="2:63" ht="50.15" customHeight="1" thickBot="1" x14ac:dyDescent="0.35">
      <c r="B35" s="45"/>
      <c r="C35" s="794" t="s">
        <v>317</v>
      </c>
      <c r="D35" s="794"/>
      <c r="E35" s="179" t="s">
        <v>267</v>
      </c>
      <c r="F35" s="180" t="s">
        <v>318</v>
      </c>
      <c r="G35" s="88" t="s">
        <v>319</v>
      </c>
      <c r="H35" s="44"/>
      <c r="I35" s="143"/>
      <c r="K35" s="45"/>
      <c r="L35" s="794" t="s">
        <v>317</v>
      </c>
      <c r="M35" s="794"/>
      <c r="N35" s="179" t="s">
        <v>267</v>
      </c>
      <c r="O35" s="180" t="s">
        <v>318</v>
      </c>
      <c r="P35" s="88" t="s">
        <v>319</v>
      </c>
      <c r="Q35" s="44"/>
      <c r="R35" s="143"/>
      <c r="T35" s="527"/>
      <c r="W35" s="792"/>
      <c r="X35" s="792"/>
      <c r="Y35" s="7"/>
      <c r="AC35" s="45"/>
      <c r="AD35" s="123"/>
      <c r="AE35" s="123"/>
      <c r="AF35" s="129" t="s">
        <v>314</v>
      </c>
      <c r="AG35" s="130">
        <f>SUM(AG17:AG34)</f>
        <v>561018.73</v>
      </c>
      <c r="AH35" s="46"/>
      <c r="AI35" s="44"/>
      <c r="AL35" s="45"/>
      <c r="AM35" s="123"/>
      <c r="AN35" s="123"/>
      <c r="AO35" s="129" t="s">
        <v>314</v>
      </c>
      <c r="AP35" s="130">
        <f>SUM(AP17:AP34)</f>
        <v>292647.59999999998</v>
      </c>
      <c r="AQ35" s="34"/>
      <c r="AR35" s="44"/>
      <c r="AU35" s="322"/>
      <c r="AV35" s="322"/>
      <c r="BA35" s="322"/>
      <c r="BB35" s="322"/>
      <c r="BC35" s="322"/>
      <c r="BD35" s="322"/>
      <c r="BE35" s="322"/>
      <c r="BF35" s="322"/>
      <c r="BG35" s="322"/>
      <c r="BH35" s="322"/>
      <c r="BI35" s="322"/>
      <c r="BJ35" s="322"/>
      <c r="BK35" s="322"/>
    </row>
    <row r="36" spans="2:63" ht="70.5" thickBot="1" x14ac:dyDescent="0.35">
      <c r="B36" s="45"/>
      <c r="C36" s="27"/>
      <c r="D36" s="27"/>
      <c r="E36" s="554" t="s">
        <v>274</v>
      </c>
      <c r="F36" s="176">
        <v>2036.04</v>
      </c>
      <c r="G36" s="20" t="s">
        <v>320</v>
      </c>
      <c r="H36" s="44"/>
      <c r="I36" s="143"/>
      <c r="K36" s="45"/>
      <c r="L36" s="27"/>
      <c r="M36" s="27"/>
      <c r="N36" s="554" t="s">
        <v>274</v>
      </c>
      <c r="O36" s="176">
        <v>0</v>
      </c>
      <c r="P36" s="20" t="s">
        <v>321</v>
      </c>
      <c r="Q36" s="44"/>
      <c r="R36" s="143"/>
      <c r="T36" s="527"/>
      <c r="W36" s="788"/>
      <c r="X36" s="788"/>
      <c r="Y36" s="7"/>
      <c r="AC36" s="47"/>
      <c r="AD36" s="28"/>
      <c r="AE36" s="28"/>
      <c r="AF36" s="29"/>
      <c r="AG36" s="29"/>
      <c r="AH36" s="29"/>
      <c r="AI36" s="49"/>
      <c r="AL36" s="47"/>
      <c r="AM36" s="28"/>
      <c r="AN36" s="28"/>
      <c r="AO36" s="29"/>
      <c r="AP36" s="29"/>
      <c r="AQ36" s="29"/>
      <c r="AR36" s="49"/>
      <c r="AV36" s="133"/>
      <c r="BA36" s="322"/>
      <c r="BB36" s="322"/>
      <c r="BC36" s="322"/>
      <c r="BD36" s="322"/>
      <c r="BE36" s="322"/>
      <c r="BF36" s="322"/>
      <c r="BG36" s="322"/>
      <c r="BH36" s="322"/>
      <c r="BI36" s="322"/>
      <c r="BJ36" s="322"/>
      <c r="BK36" s="322"/>
    </row>
    <row r="37" spans="2:63" ht="42" x14ac:dyDescent="0.3">
      <c r="B37" s="45"/>
      <c r="C37" s="27"/>
      <c r="D37" s="27"/>
      <c r="E37" s="554" t="s">
        <v>277</v>
      </c>
      <c r="F37" s="176">
        <v>4076.77</v>
      </c>
      <c r="G37" s="561" t="s">
        <v>320</v>
      </c>
      <c r="H37" s="44"/>
      <c r="I37" s="143"/>
      <c r="K37" s="45"/>
      <c r="L37" s="27"/>
      <c r="M37" s="27"/>
      <c r="N37" s="554" t="s">
        <v>277</v>
      </c>
      <c r="O37" s="176">
        <v>11948.45</v>
      </c>
      <c r="P37" s="561" t="s">
        <v>321</v>
      </c>
      <c r="Q37" s="44"/>
      <c r="R37" s="143"/>
      <c r="T37" s="527"/>
      <c r="W37" s="7"/>
      <c r="X37" s="7"/>
      <c r="Y37" s="7"/>
      <c r="AC37" s="527"/>
      <c r="AE37" s="131"/>
      <c r="AF37" s="15"/>
      <c r="AG37" s="15"/>
      <c r="AH37" s="7"/>
      <c r="AL37" s="527"/>
      <c r="AO37" s="15"/>
      <c r="AP37" s="15"/>
      <c r="AQ37" s="132"/>
      <c r="BA37" s="322"/>
      <c r="BB37" s="322"/>
      <c r="BC37" s="322"/>
      <c r="BD37" s="322"/>
      <c r="BE37" s="322"/>
      <c r="BF37" s="322"/>
      <c r="BG37" s="322"/>
      <c r="BH37" s="322"/>
      <c r="BI37" s="322"/>
      <c r="BJ37" s="322"/>
      <c r="BK37" s="322"/>
    </row>
    <row r="38" spans="2:63" ht="42" x14ac:dyDescent="0.3">
      <c r="B38" s="45"/>
      <c r="C38" s="27"/>
      <c r="D38" s="27"/>
      <c r="E38" s="554" t="s">
        <v>279</v>
      </c>
      <c r="F38" s="176">
        <v>1247.6099999999999</v>
      </c>
      <c r="G38" s="561" t="s">
        <v>320</v>
      </c>
      <c r="H38" s="44"/>
      <c r="I38" s="143"/>
      <c r="K38" s="45"/>
      <c r="L38" s="27"/>
      <c r="M38" s="27"/>
      <c r="N38" s="554" t="s">
        <v>279</v>
      </c>
      <c r="O38" s="176">
        <v>6768</v>
      </c>
      <c r="P38" s="561" t="s">
        <v>321</v>
      </c>
      <c r="Q38" s="44"/>
      <c r="R38" s="143"/>
      <c r="T38" s="527"/>
      <c r="W38" s="7"/>
      <c r="X38" s="7"/>
      <c r="Y38" s="7"/>
      <c r="AC38" s="527"/>
      <c r="AF38" s="792"/>
      <c r="AG38" s="792"/>
      <c r="AH38" s="7"/>
      <c r="AL38" s="527"/>
      <c r="AO38" s="792"/>
      <c r="AP38" s="792"/>
      <c r="AQ38" s="7"/>
      <c r="BA38" s="322"/>
      <c r="BB38" s="322"/>
      <c r="BC38" s="322"/>
      <c r="BD38" s="322"/>
      <c r="BE38" s="322"/>
      <c r="BF38" s="322"/>
      <c r="BG38" s="322"/>
      <c r="BH38" s="322"/>
      <c r="BI38" s="322"/>
      <c r="BJ38" s="322"/>
      <c r="BK38" s="322"/>
    </row>
    <row r="39" spans="2:63" ht="70" x14ac:dyDescent="0.3">
      <c r="B39" s="45"/>
      <c r="C39" s="27"/>
      <c r="D39" s="27"/>
      <c r="E39" s="554" t="s">
        <v>281</v>
      </c>
      <c r="F39" s="176">
        <v>15571.06</v>
      </c>
      <c r="G39" s="561" t="s">
        <v>322</v>
      </c>
      <c r="H39" s="44"/>
      <c r="I39" s="143"/>
      <c r="K39" s="45"/>
      <c r="L39" s="27"/>
      <c r="M39" s="27"/>
      <c r="N39" s="554" t="s">
        <v>281</v>
      </c>
      <c r="O39" s="176">
        <v>5400</v>
      </c>
      <c r="P39" s="561" t="s">
        <v>321</v>
      </c>
      <c r="Q39" s="44"/>
      <c r="R39" s="143"/>
      <c r="T39" s="527"/>
      <c r="W39" s="788"/>
      <c r="X39" s="788"/>
      <c r="Y39" s="7"/>
      <c r="AC39" s="527"/>
      <c r="AF39" s="788"/>
      <c r="AG39" s="788"/>
      <c r="AH39" s="7"/>
      <c r="AL39" s="527"/>
      <c r="AO39" s="788"/>
      <c r="AP39" s="788"/>
      <c r="AQ39" s="7"/>
      <c r="BA39" s="322"/>
      <c r="BB39" s="322"/>
      <c r="BC39" s="322"/>
      <c r="BD39" s="322"/>
      <c r="BE39" s="322"/>
      <c r="BF39" s="322"/>
      <c r="BG39" s="322"/>
      <c r="BH39" s="322"/>
      <c r="BI39" s="322"/>
      <c r="BJ39" s="322"/>
      <c r="BK39" s="322"/>
    </row>
    <row r="40" spans="2:63" ht="42" x14ac:dyDescent="0.3">
      <c r="B40" s="45"/>
      <c r="C40" s="27"/>
      <c r="D40" s="27"/>
      <c r="E40" s="554" t="s">
        <v>284</v>
      </c>
      <c r="F40" s="176">
        <v>5380.1</v>
      </c>
      <c r="G40" s="561" t="s">
        <v>323</v>
      </c>
      <c r="H40" s="44"/>
      <c r="I40" s="143"/>
      <c r="K40" s="45"/>
      <c r="L40" s="27"/>
      <c r="M40" s="27"/>
      <c r="N40" s="554" t="s">
        <v>284</v>
      </c>
      <c r="O40" s="176">
        <v>5358</v>
      </c>
      <c r="P40" s="561" t="s">
        <v>321</v>
      </c>
      <c r="Q40" s="44"/>
      <c r="R40" s="143"/>
      <c r="W40" s="788"/>
      <c r="X40" s="788"/>
      <c r="Y40" s="7"/>
      <c r="AC40" s="527"/>
      <c r="AF40" s="7"/>
      <c r="AG40" s="7"/>
      <c r="AH40" s="7"/>
      <c r="AL40" s="527"/>
      <c r="AO40" s="7"/>
      <c r="AP40" s="7"/>
      <c r="AQ40" s="7"/>
      <c r="BA40" s="322"/>
      <c r="BB40" s="322"/>
      <c r="BC40" s="322"/>
      <c r="BD40" s="322"/>
      <c r="BE40" s="322"/>
      <c r="BF40" s="322"/>
      <c r="BG40" s="322"/>
      <c r="BH40" s="322"/>
      <c r="BI40" s="322"/>
      <c r="BJ40" s="322"/>
      <c r="BK40" s="322"/>
    </row>
    <row r="41" spans="2:63" ht="56" x14ac:dyDescent="0.3">
      <c r="B41" s="45"/>
      <c r="C41" s="27"/>
      <c r="D41" s="27"/>
      <c r="E41" s="554" t="s">
        <v>286</v>
      </c>
      <c r="F41" s="176">
        <v>0</v>
      </c>
      <c r="G41" s="561"/>
      <c r="H41" s="44"/>
      <c r="I41" s="143"/>
      <c r="K41" s="45"/>
      <c r="L41" s="27"/>
      <c r="M41" s="27"/>
      <c r="N41" s="554" t="s">
        <v>286</v>
      </c>
      <c r="O41" s="176">
        <v>14100</v>
      </c>
      <c r="P41" s="561" t="s">
        <v>321</v>
      </c>
      <c r="Q41" s="44"/>
      <c r="R41" s="143"/>
      <c r="W41" s="18"/>
      <c r="X41" s="7"/>
      <c r="Y41" s="7"/>
      <c r="AC41" s="527"/>
      <c r="AF41" s="7"/>
      <c r="AG41" s="7"/>
      <c r="AH41" s="7"/>
      <c r="AL41" s="527"/>
      <c r="AO41" s="7"/>
      <c r="AP41" s="7"/>
      <c r="AQ41" s="7"/>
      <c r="BA41" s="322"/>
      <c r="BB41" s="322"/>
      <c r="BC41" s="322"/>
      <c r="BD41" s="322"/>
      <c r="BE41" s="322"/>
      <c r="BF41" s="322"/>
      <c r="BG41" s="322"/>
      <c r="BH41" s="322"/>
      <c r="BI41" s="322"/>
      <c r="BJ41" s="322"/>
      <c r="BK41" s="322"/>
    </row>
    <row r="42" spans="2:63" ht="42" x14ac:dyDescent="0.3">
      <c r="B42" s="45"/>
      <c r="C42" s="27"/>
      <c r="D42" s="27"/>
      <c r="E42" s="554" t="s">
        <v>289</v>
      </c>
      <c r="F42" s="176">
        <v>6736.79</v>
      </c>
      <c r="G42" s="561" t="s">
        <v>323</v>
      </c>
      <c r="H42" s="44"/>
      <c r="I42" s="143"/>
      <c r="K42" s="45"/>
      <c r="L42" s="27"/>
      <c r="M42" s="27"/>
      <c r="N42" s="554" t="s">
        <v>289</v>
      </c>
      <c r="O42" s="176">
        <v>4521.6499999999996</v>
      </c>
      <c r="P42" s="561" t="s">
        <v>321</v>
      </c>
      <c r="Q42" s="44"/>
      <c r="R42" s="143"/>
      <c r="W42" s="18"/>
      <c r="X42" s="18"/>
      <c r="Y42" s="6"/>
      <c r="AC42" s="527"/>
      <c r="AF42" s="788"/>
      <c r="AG42" s="788"/>
      <c r="AH42" s="7"/>
      <c r="AL42" s="527"/>
      <c r="AO42" s="788"/>
      <c r="AP42" s="788"/>
      <c r="AQ42" s="7"/>
      <c r="BA42" s="322"/>
      <c r="BB42" s="322"/>
      <c r="BC42" s="322"/>
      <c r="BD42" s="322"/>
      <c r="BE42" s="322"/>
      <c r="BF42" s="322"/>
      <c r="BG42" s="322"/>
      <c r="BH42" s="322"/>
      <c r="BI42" s="322"/>
      <c r="BJ42" s="322"/>
      <c r="BK42" s="322"/>
    </row>
    <row r="43" spans="2:63" ht="84" x14ac:dyDescent="0.3">
      <c r="B43" s="45"/>
      <c r="C43" s="27"/>
      <c r="D43" s="27"/>
      <c r="E43" s="554" t="s">
        <v>291</v>
      </c>
      <c r="F43" s="176">
        <v>63624.76</v>
      </c>
      <c r="G43" s="561" t="s">
        <v>322</v>
      </c>
      <c r="H43" s="44"/>
      <c r="I43" s="143"/>
      <c r="K43" s="45"/>
      <c r="L43" s="27"/>
      <c r="M43" s="27"/>
      <c r="N43" s="554" t="s">
        <v>291</v>
      </c>
      <c r="O43" s="176">
        <v>427321.48</v>
      </c>
      <c r="P43" s="561" t="s">
        <v>321</v>
      </c>
      <c r="Q43" s="44"/>
      <c r="R43" s="143"/>
      <c r="W43" s="19"/>
      <c r="X43" s="19"/>
      <c r="AF43" s="788"/>
      <c r="AG43" s="788"/>
      <c r="AH43" s="7"/>
      <c r="AO43" s="788"/>
      <c r="AP43" s="788"/>
      <c r="AQ43" s="7"/>
      <c r="BA43" s="322"/>
      <c r="BB43" s="322"/>
      <c r="BC43" s="322"/>
      <c r="BD43" s="322"/>
      <c r="BE43" s="322"/>
      <c r="BF43" s="322"/>
      <c r="BG43" s="322"/>
      <c r="BH43" s="322"/>
      <c r="BI43" s="322"/>
      <c r="BJ43" s="322"/>
      <c r="BK43" s="322"/>
    </row>
    <row r="44" spans="2:63" ht="28" x14ac:dyDescent="0.3">
      <c r="B44" s="45"/>
      <c r="C44" s="27"/>
      <c r="D44" s="27"/>
      <c r="E44" s="554" t="s">
        <v>294</v>
      </c>
      <c r="F44" s="176">
        <v>15000</v>
      </c>
      <c r="G44" s="561" t="s">
        <v>322</v>
      </c>
      <c r="H44" s="44"/>
      <c r="I44" s="143"/>
      <c r="K44" s="45"/>
      <c r="L44" s="27"/>
      <c r="M44" s="27"/>
      <c r="N44" s="554" t="s">
        <v>294</v>
      </c>
      <c r="O44" s="176">
        <v>10000</v>
      </c>
      <c r="P44" s="561" t="s">
        <v>321</v>
      </c>
      <c r="Q44" s="44"/>
      <c r="R44" s="143"/>
      <c r="W44" s="19"/>
      <c r="X44" s="19"/>
      <c r="AF44" s="18"/>
      <c r="AG44" s="7"/>
      <c r="AH44" s="7"/>
      <c r="AO44" s="18"/>
      <c r="AP44" s="7"/>
      <c r="AQ44" s="7"/>
      <c r="BA44" s="322"/>
      <c r="BB44" s="322"/>
      <c r="BC44" s="322"/>
      <c r="BD44" s="322"/>
      <c r="BE44" s="322"/>
      <c r="BF44" s="322"/>
      <c r="BG44" s="322"/>
      <c r="BH44" s="322"/>
      <c r="BI44" s="322"/>
      <c r="BJ44" s="322"/>
      <c r="BK44" s="322"/>
    </row>
    <row r="45" spans="2:63" ht="42" x14ac:dyDescent="0.3">
      <c r="B45" s="45"/>
      <c r="C45" s="27"/>
      <c r="D45" s="27"/>
      <c r="E45" s="554" t="s">
        <v>297</v>
      </c>
      <c r="F45" s="176">
        <v>52657.55</v>
      </c>
      <c r="G45" s="561" t="s">
        <v>322</v>
      </c>
      <c r="H45" s="44"/>
      <c r="I45" s="143"/>
      <c r="K45" s="45"/>
      <c r="L45" s="27"/>
      <c r="M45" s="27"/>
      <c r="N45" s="554" t="s">
        <v>297</v>
      </c>
      <c r="O45" s="176">
        <v>52845.919999999998</v>
      </c>
      <c r="P45" s="561" t="s">
        <v>321</v>
      </c>
      <c r="Q45" s="44"/>
      <c r="R45" s="143"/>
      <c r="AF45" s="18"/>
      <c r="AG45" s="18"/>
      <c r="AH45" s="6"/>
      <c r="AO45" s="18"/>
      <c r="AP45" s="18"/>
      <c r="AQ45" s="6"/>
      <c r="BA45" s="322"/>
      <c r="BB45" s="322"/>
      <c r="BC45" s="322"/>
      <c r="BD45" s="322"/>
      <c r="BE45" s="322"/>
      <c r="BF45" s="322"/>
      <c r="BG45" s="322"/>
      <c r="BH45" s="322"/>
      <c r="BI45" s="322"/>
      <c r="BJ45" s="322"/>
      <c r="BK45" s="322"/>
    </row>
    <row r="46" spans="2:63" ht="70" x14ac:dyDescent="0.3">
      <c r="B46" s="45"/>
      <c r="C46" s="27"/>
      <c r="D46" s="27"/>
      <c r="E46" s="557" t="s">
        <v>300</v>
      </c>
      <c r="F46" s="176">
        <v>1353570.43</v>
      </c>
      <c r="G46" s="561" t="s">
        <v>322</v>
      </c>
      <c r="H46" s="44"/>
      <c r="I46" s="143"/>
      <c r="K46" s="45"/>
      <c r="L46" s="27"/>
      <c r="M46" s="27"/>
      <c r="N46" s="557" t="s">
        <v>300</v>
      </c>
      <c r="O46" s="176">
        <v>2418541.67</v>
      </c>
      <c r="P46" s="561" t="s">
        <v>321</v>
      </c>
      <c r="Q46" s="44"/>
      <c r="R46" s="143"/>
      <c r="AF46" s="19"/>
      <c r="AG46" s="19"/>
      <c r="AO46" s="19"/>
      <c r="AP46" s="19"/>
      <c r="BA46" s="322"/>
      <c r="BB46" s="322"/>
      <c r="BC46" s="322"/>
      <c r="BD46" s="322"/>
      <c r="BE46" s="322"/>
      <c r="BF46" s="322"/>
      <c r="BG46" s="322"/>
      <c r="BH46" s="322"/>
      <c r="BI46" s="322"/>
      <c r="BJ46" s="322"/>
      <c r="BK46" s="322"/>
    </row>
    <row r="47" spans="2:63" ht="42" x14ac:dyDescent="0.3">
      <c r="B47" s="45"/>
      <c r="C47" s="27"/>
      <c r="D47" s="27"/>
      <c r="E47" s="554" t="s">
        <v>302</v>
      </c>
      <c r="F47" s="176">
        <v>557145.14</v>
      </c>
      <c r="G47" s="561" t="s">
        <v>322</v>
      </c>
      <c r="H47" s="44"/>
      <c r="I47" s="143"/>
      <c r="K47" s="45"/>
      <c r="L47" s="27"/>
      <c r="M47" s="27"/>
      <c r="N47" s="554" t="s">
        <v>302</v>
      </c>
      <c r="O47" s="176">
        <v>447000</v>
      </c>
      <c r="P47" s="561" t="s">
        <v>321</v>
      </c>
      <c r="Q47" s="44"/>
      <c r="R47" s="143"/>
      <c r="U47" s="183"/>
      <c r="V47" s="183"/>
      <c r="W47" s="184"/>
      <c r="X47" s="184"/>
      <c r="AF47" s="19"/>
      <c r="AG47" s="19"/>
      <c r="AO47" s="19"/>
      <c r="AP47" s="19"/>
      <c r="BA47" s="322"/>
      <c r="BB47" s="322"/>
      <c r="BC47" s="322"/>
      <c r="BD47" s="322"/>
      <c r="BE47" s="322"/>
      <c r="BF47" s="322"/>
      <c r="BG47" s="322"/>
      <c r="BH47" s="322"/>
      <c r="BI47" s="322"/>
      <c r="BJ47" s="322"/>
      <c r="BK47" s="322"/>
    </row>
    <row r="48" spans="2:63" ht="56" x14ac:dyDescent="0.35">
      <c r="B48" s="45"/>
      <c r="C48" s="27"/>
      <c r="D48" s="27"/>
      <c r="E48" s="554" t="s">
        <v>305</v>
      </c>
      <c r="F48" s="176">
        <v>84408.81</v>
      </c>
      <c r="G48" s="561" t="s">
        <v>322</v>
      </c>
      <c r="H48" s="44"/>
      <c r="I48" s="143"/>
      <c r="K48" s="45"/>
      <c r="L48" s="27"/>
      <c r="M48" s="27"/>
      <c r="N48" s="554" t="s">
        <v>305</v>
      </c>
      <c r="O48" s="176">
        <v>33511.85</v>
      </c>
      <c r="P48" s="561" t="s">
        <v>321</v>
      </c>
      <c r="Q48" s="44"/>
      <c r="R48" s="143"/>
      <c r="U48" s="185"/>
      <c r="V48" s="185"/>
      <c r="W48" s="185"/>
      <c r="X48" s="185"/>
      <c r="Y48" s="133"/>
      <c r="BA48" s="322"/>
      <c r="BB48" s="322"/>
      <c r="BC48" s="322"/>
      <c r="BD48" s="322"/>
      <c r="BE48" s="322"/>
      <c r="BF48" s="322"/>
      <c r="BG48" s="322"/>
      <c r="BH48" s="322"/>
      <c r="BI48" s="322"/>
      <c r="BJ48" s="322"/>
      <c r="BK48" s="322"/>
    </row>
    <row r="49" spans="2:63" ht="28.5" thickBot="1" x14ac:dyDescent="0.35">
      <c r="B49" s="45"/>
      <c r="C49" s="27"/>
      <c r="D49" s="27"/>
      <c r="E49" s="554" t="s">
        <v>308</v>
      </c>
      <c r="F49" s="176">
        <v>97343.1</v>
      </c>
      <c r="G49" s="562" t="s">
        <v>322</v>
      </c>
      <c r="H49" s="44"/>
      <c r="I49" s="143"/>
      <c r="K49" s="45"/>
      <c r="L49" s="27"/>
      <c r="M49" s="27"/>
      <c r="N49" s="554" t="s">
        <v>308</v>
      </c>
      <c r="O49" s="176">
        <v>61924</v>
      </c>
      <c r="P49" s="562" t="s">
        <v>321</v>
      </c>
      <c r="Q49" s="44"/>
      <c r="R49" s="143"/>
      <c r="BA49" s="322"/>
      <c r="BB49" s="322"/>
      <c r="BC49" s="322"/>
      <c r="BD49" s="322"/>
      <c r="BE49" s="322"/>
      <c r="BF49" s="322"/>
      <c r="BG49" s="322"/>
      <c r="BH49" s="322"/>
      <c r="BI49" s="322"/>
      <c r="BJ49" s="322"/>
      <c r="BK49" s="322"/>
    </row>
    <row r="50" spans="2:63" ht="28.5" thickBot="1" x14ac:dyDescent="0.4">
      <c r="B50" s="45"/>
      <c r="C50" s="27"/>
      <c r="D50" s="27"/>
      <c r="E50" s="559" t="s">
        <v>311</v>
      </c>
      <c r="F50" s="176">
        <v>143015.56</v>
      </c>
      <c r="G50" s="20" t="s">
        <v>322</v>
      </c>
      <c r="H50" s="44"/>
      <c r="I50" s="143"/>
      <c r="K50" s="45"/>
      <c r="L50" s="27"/>
      <c r="M50" s="27"/>
      <c r="N50" s="559" t="s">
        <v>311</v>
      </c>
      <c r="O50" s="176">
        <v>90000</v>
      </c>
      <c r="P50" s="20" t="s">
        <v>321</v>
      </c>
      <c r="Q50" s="44"/>
      <c r="R50" s="143"/>
      <c r="V50" s="134"/>
      <c r="W50" s="134"/>
      <c r="X50" s="135"/>
      <c r="AD50" s="183"/>
      <c r="AE50" s="183"/>
      <c r="AF50" s="184"/>
      <c r="AG50" s="184"/>
      <c r="BA50" s="322"/>
      <c r="BB50" s="322"/>
      <c r="BC50" s="322"/>
      <c r="BD50" s="322"/>
      <c r="BE50" s="322"/>
      <c r="BF50" s="322"/>
      <c r="BG50" s="322"/>
      <c r="BH50" s="322"/>
      <c r="BI50" s="322"/>
      <c r="BJ50" s="322"/>
      <c r="BK50" s="322"/>
    </row>
    <row r="51" spans="2:63" ht="15" thickBot="1" x14ac:dyDescent="0.4">
      <c r="B51" s="45"/>
      <c r="C51" s="27"/>
      <c r="D51" s="27"/>
      <c r="E51" s="87" t="s">
        <v>314</v>
      </c>
      <c r="F51" s="146">
        <f>SUM(F36:F50)</f>
        <v>2401813.7200000002</v>
      </c>
      <c r="G51" s="86"/>
      <c r="H51" s="44"/>
      <c r="I51" s="143"/>
      <c r="K51" s="45"/>
      <c r="L51" s="27"/>
      <c r="M51" s="27"/>
      <c r="N51" s="87" t="s">
        <v>314</v>
      </c>
      <c r="O51" s="146">
        <f>SUM(O36:O50)</f>
        <v>3589241.02</v>
      </c>
      <c r="P51" s="86"/>
      <c r="Q51" s="44"/>
      <c r="R51" s="143"/>
      <c r="AD51" s="185"/>
      <c r="AE51" s="185"/>
      <c r="AF51" s="185"/>
      <c r="AG51" s="185"/>
      <c r="AH51" s="133"/>
      <c r="BA51" s="322"/>
      <c r="BB51" s="322"/>
      <c r="BC51" s="322"/>
      <c r="BD51" s="322"/>
      <c r="BE51" s="322"/>
      <c r="BF51" s="322"/>
      <c r="BG51" s="322"/>
      <c r="BH51" s="322"/>
      <c r="BI51" s="322"/>
      <c r="BJ51" s="322"/>
      <c r="BK51" s="322"/>
    </row>
    <row r="52" spans="2:63" x14ac:dyDescent="0.3">
      <c r="B52" s="45"/>
      <c r="C52" s="27"/>
      <c r="D52" s="27"/>
      <c r="E52" s="46"/>
      <c r="F52" s="46"/>
      <c r="G52" s="46"/>
      <c r="H52" s="44"/>
      <c r="I52" s="143"/>
      <c r="K52" s="45"/>
      <c r="L52" s="27"/>
      <c r="M52" s="27"/>
      <c r="N52" s="46"/>
      <c r="O52" s="46"/>
      <c r="P52" s="46"/>
      <c r="Q52" s="44"/>
      <c r="R52" s="143"/>
      <c r="BA52" s="322"/>
      <c r="BB52" s="322"/>
      <c r="BC52" s="322"/>
      <c r="BD52" s="322"/>
      <c r="BE52" s="322"/>
      <c r="BF52" s="322"/>
      <c r="BG52" s="322"/>
      <c r="BH52" s="322"/>
      <c r="BI52" s="322"/>
      <c r="BJ52" s="322"/>
      <c r="BK52" s="322"/>
    </row>
    <row r="53" spans="2:63" ht="34.5" customHeight="1" thickBot="1" x14ac:dyDescent="0.4">
      <c r="B53" s="45"/>
      <c r="C53" s="794" t="s">
        <v>324</v>
      </c>
      <c r="D53" s="794"/>
      <c r="E53" s="794"/>
      <c r="F53" s="794"/>
      <c r="G53" s="91"/>
      <c r="H53" s="44"/>
      <c r="I53" s="143"/>
      <c r="K53" s="45"/>
      <c r="L53" s="794" t="s">
        <v>324</v>
      </c>
      <c r="M53" s="794"/>
      <c r="N53" s="794"/>
      <c r="O53" s="794"/>
      <c r="P53" s="91"/>
      <c r="Q53" s="44"/>
      <c r="R53" s="143"/>
      <c r="AE53" s="134"/>
      <c r="AF53" s="134"/>
      <c r="AG53" s="135"/>
      <c r="BA53" s="322"/>
      <c r="BB53" s="322"/>
      <c r="BC53" s="322"/>
      <c r="BD53" s="322"/>
      <c r="BE53" s="322"/>
      <c r="BF53" s="322"/>
      <c r="BG53" s="322"/>
      <c r="BH53" s="322"/>
      <c r="BI53" s="322"/>
      <c r="BJ53" s="322"/>
      <c r="BK53" s="322"/>
    </row>
    <row r="54" spans="2:63" ht="63.75" customHeight="1" thickBot="1" x14ac:dyDescent="0.35">
      <c r="B54" s="45"/>
      <c r="C54" s="794" t="s">
        <v>325</v>
      </c>
      <c r="D54" s="794"/>
      <c r="E54" s="799" t="s">
        <v>79</v>
      </c>
      <c r="F54" s="800"/>
      <c r="G54" s="46"/>
      <c r="H54" s="44"/>
      <c r="I54" s="143"/>
      <c r="K54" s="45"/>
      <c r="L54" s="794" t="s">
        <v>325</v>
      </c>
      <c r="M54" s="794"/>
      <c r="N54" s="799" t="s">
        <v>79</v>
      </c>
      <c r="O54" s="800"/>
      <c r="P54" s="46"/>
      <c r="Q54" s="44"/>
      <c r="R54" s="143"/>
      <c r="AA54" s="136"/>
      <c r="AJ54" s="136"/>
      <c r="AK54" s="136"/>
      <c r="BA54" s="322"/>
      <c r="BB54" s="322"/>
      <c r="BC54" s="322"/>
      <c r="BD54" s="322"/>
      <c r="BE54" s="322"/>
      <c r="BF54" s="322"/>
      <c r="BG54" s="322"/>
      <c r="BH54" s="322"/>
      <c r="BI54" s="322"/>
      <c r="BJ54" s="322"/>
      <c r="BK54" s="322"/>
    </row>
    <row r="55" spans="2:63" ht="14.5" thickBot="1" x14ac:dyDescent="0.35">
      <c r="B55" s="45"/>
      <c r="C55" s="793"/>
      <c r="D55" s="793"/>
      <c r="E55" s="793"/>
      <c r="F55" s="793"/>
      <c r="G55" s="46"/>
      <c r="H55" s="44"/>
      <c r="I55" s="143"/>
      <c r="K55" s="45"/>
      <c r="L55" s="793"/>
      <c r="M55" s="793"/>
      <c r="N55" s="793"/>
      <c r="O55" s="793"/>
      <c r="P55" s="46"/>
      <c r="Q55" s="44"/>
      <c r="R55" s="143"/>
      <c r="BA55" s="322"/>
      <c r="BB55" s="322"/>
      <c r="BC55" s="322"/>
      <c r="BD55" s="322"/>
      <c r="BE55" s="322"/>
      <c r="BF55" s="322"/>
      <c r="BG55" s="322"/>
      <c r="BH55" s="322"/>
      <c r="BI55" s="322"/>
      <c r="BJ55" s="322"/>
      <c r="BK55" s="322"/>
    </row>
    <row r="56" spans="2:63" ht="59.25" customHeight="1" thickBot="1" x14ac:dyDescent="0.35">
      <c r="B56" s="45"/>
      <c r="C56" s="794" t="s">
        <v>326</v>
      </c>
      <c r="D56" s="794"/>
      <c r="E56" s="795"/>
      <c r="F56" s="796"/>
      <c r="G56" s="46"/>
      <c r="H56" s="44"/>
      <c r="I56" s="143"/>
      <c r="K56" s="45"/>
      <c r="L56" s="794" t="s">
        <v>326</v>
      </c>
      <c r="M56" s="794"/>
      <c r="N56" s="795">
        <v>590196</v>
      </c>
      <c r="O56" s="796"/>
      <c r="P56" s="46"/>
      <c r="Q56" s="44"/>
      <c r="R56" s="143"/>
      <c r="BA56" s="322"/>
      <c r="BB56" s="322"/>
      <c r="BC56" s="322"/>
      <c r="BD56" s="322"/>
      <c r="BE56" s="322"/>
      <c r="BF56" s="322"/>
      <c r="BG56" s="322"/>
      <c r="BH56" s="322"/>
      <c r="BI56" s="322"/>
      <c r="BJ56" s="322"/>
      <c r="BK56" s="322"/>
    </row>
    <row r="57" spans="2:63" ht="347.25" customHeight="1" thickBot="1" x14ac:dyDescent="0.35">
      <c r="B57" s="45"/>
      <c r="C57" s="794" t="s">
        <v>327</v>
      </c>
      <c r="D57" s="794"/>
      <c r="E57" s="797" t="s">
        <v>1356</v>
      </c>
      <c r="F57" s="798"/>
      <c r="G57" s="46"/>
      <c r="H57" s="44"/>
      <c r="I57" s="143"/>
      <c r="K57" s="45"/>
      <c r="L57" s="794" t="s">
        <v>327</v>
      </c>
      <c r="M57" s="794"/>
      <c r="N57" s="797" t="s">
        <v>328</v>
      </c>
      <c r="O57" s="798"/>
      <c r="P57" s="46"/>
      <c r="Q57" s="44"/>
      <c r="R57" s="143"/>
      <c r="BA57" s="322"/>
      <c r="BB57" s="322"/>
      <c r="BC57" s="322"/>
      <c r="BD57" s="322"/>
      <c r="BE57" s="322"/>
      <c r="BF57" s="322"/>
      <c r="BG57" s="322"/>
      <c r="BH57" s="322"/>
      <c r="BI57" s="322"/>
      <c r="BJ57" s="322"/>
      <c r="BK57" s="322"/>
    </row>
    <row r="58" spans="2:63" x14ac:dyDescent="0.3">
      <c r="B58" s="45"/>
      <c r="C58" s="27"/>
      <c r="D58" s="27"/>
      <c r="E58" s="46"/>
      <c r="F58" s="46"/>
      <c r="G58" s="46"/>
      <c r="H58" s="44"/>
      <c r="I58" s="143"/>
      <c r="K58" s="45"/>
      <c r="L58" s="27"/>
      <c r="M58" s="27"/>
      <c r="N58" s="46"/>
      <c r="O58" s="46"/>
      <c r="P58" s="46"/>
      <c r="Q58" s="44"/>
      <c r="R58" s="143"/>
      <c r="U58" s="182">
        <f>515331.41+O32</f>
        <v>1369171.537</v>
      </c>
      <c r="V58" s="182">
        <f>515331.41/U58</f>
        <v>0.37638191860834747</v>
      </c>
      <c r="BA58" s="322"/>
      <c r="BB58" s="322"/>
      <c r="BC58" s="322"/>
      <c r="BD58" s="322"/>
      <c r="BE58" s="322"/>
      <c r="BF58" s="322"/>
      <c r="BG58" s="322"/>
      <c r="BH58" s="322"/>
      <c r="BI58" s="322"/>
      <c r="BJ58" s="322"/>
      <c r="BK58" s="322"/>
    </row>
    <row r="59" spans="2:63" ht="15" thickBot="1" x14ac:dyDescent="0.4">
      <c r="B59" s="47"/>
      <c r="C59" s="790"/>
      <c r="D59" s="790"/>
      <c r="E59" s="48"/>
      <c r="F59" s="29"/>
      <c r="G59" s="29"/>
      <c r="H59" s="49"/>
      <c r="I59" s="143"/>
      <c r="K59" s="47"/>
      <c r="L59" s="790"/>
      <c r="M59" s="790"/>
      <c r="N59" s="48"/>
      <c r="O59" s="29"/>
      <c r="P59" s="29"/>
      <c r="Q59" s="49"/>
      <c r="R59" s="143"/>
      <c r="U59" s="186"/>
      <c r="V59" s="186"/>
      <c r="BA59" s="322"/>
      <c r="BB59" s="322"/>
      <c r="BC59" s="322"/>
      <c r="BD59" s="322"/>
      <c r="BE59" s="322"/>
      <c r="BF59" s="322"/>
      <c r="BG59" s="322"/>
      <c r="BH59" s="322"/>
      <c r="BI59" s="322"/>
      <c r="BJ59" s="322"/>
      <c r="BK59" s="322"/>
    </row>
    <row r="60" spans="2:63" s="16" customFormat="1" ht="65.150000000000006" customHeight="1" x14ac:dyDescent="0.3">
      <c r="B60" s="527"/>
      <c r="C60" s="789"/>
      <c r="D60" s="789"/>
      <c r="E60" s="791"/>
      <c r="F60" s="791"/>
      <c r="G60" s="7"/>
      <c r="I60" s="144"/>
      <c r="K60" s="527"/>
      <c r="L60" s="789"/>
      <c r="M60" s="789"/>
      <c r="N60" s="791"/>
      <c r="O60" s="791"/>
      <c r="P60" s="7"/>
      <c r="R60" s="144"/>
      <c r="T60" s="12"/>
      <c r="U60" s="12"/>
      <c r="V60" s="12"/>
      <c r="W60" s="13"/>
      <c r="X60" s="13"/>
      <c r="Y60" s="13"/>
      <c r="Z60" s="13"/>
      <c r="AA60" s="13"/>
      <c r="AC60" s="12"/>
      <c r="AD60" s="12"/>
      <c r="AE60" s="12"/>
      <c r="AF60" s="13"/>
      <c r="AG60" s="13"/>
      <c r="AH60" s="13"/>
      <c r="AI60" s="13"/>
      <c r="AJ60" s="13"/>
      <c r="AK60" s="13"/>
      <c r="AL60" s="12"/>
      <c r="AM60" s="12"/>
      <c r="AN60" s="12"/>
      <c r="AO60" s="13"/>
      <c r="AP60" s="13"/>
      <c r="AQ60" s="13"/>
      <c r="AR60" s="13"/>
      <c r="AS60" s="13"/>
      <c r="BA60" s="322"/>
      <c r="BB60" s="322"/>
      <c r="BC60" s="322"/>
      <c r="BD60" s="322"/>
      <c r="BE60" s="322"/>
      <c r="BF60" s="322"/>
      <c r="BG60" s="322"/>
      <c r="BH60" s="322"/>
      <c r="BI60" s="322"/>
      <c r="BJ60" s="322"/>
      <c r="BK60" s="322"/>
    </row>
    <row r="61" spans="2:63" ht="59.25" customHeight="1" x14ac:dyDescent="0.3">
      <c r="B61" s="527"/>
      <c r="C61" s="529"/>
      <c r="D61" s="529"/>
      <c r="E61" s="15"/>
      <c r="F61" s="15"/>
      <c r="G61" s="7"/>
      <c r="K61" s="527"/>
      <c r="L61" s="529"/>
      <c r="M61" s="529"/>
      <c r="N61" s="15"/>
      <c r="O61" s="15"/>
      <c r="P61" s="7"/>
      <c r="BD61" s="322"/>
      <c r="BE61" s="322"/>
      <c r="BF61" s="322"/>
      <c r="BG61" s="322"/>
      <c r="BH61" s="322"/>
      <c r="BI61" s="322"/>
      <c r="BJ61" s="322"/>
      <c r="BK61" s="322"/>
    </row>
    <row r="62" spans="2:63" ht="50.15" customHeight="1" x14ac:dyDescent="0.35">
      <c r="B62" s="527"/>
      <c r="C62" s="787"/>
      <c r="D62" s="787"/>
      <c r="E62" s="792"/>
      <c r="F62" s="792"/>
      <c r="G62" s="7"/>
      <c r="K62" s="527"/>
      <c r="L62" s="787"/>
      <c r="M62" s="787"/>
      <c r="N62" s="792"/>
      <c r="O62" s="792"/>
      <c r="P62" s="7"/>
      <c r="AA62" s="16"/>
      <c r="AD62" s="186">
        <f>35720+77265</f>
        <v>112985</v>
      </c>
      <c r="AE62" s="186">
        <f>242222.42+107070+114509.33</f>
        <v>463801.75000000006</v>
      </c>
      <c r="AJ62" s="16"/>
      <c r="AK62" s="16"/>
      <c r="BD62" s="322"/>
      <c r="BE62" s="322"/>
      <c r="BF62" s="322"/>
      <c r="BG62" s="322"/>
      <c r="BH62" s="322"/>
      <c r="BI62" s="322"/>
      <c r="BJ62" s="322"/>
      <c r="BK62" s="322"/>
    </row>
    <row r="63" spans="2:63" ht="100" customHeight="1" x14ac:dyDescent="0.3">
      <c r="B63" s="527"/>
      <c r="C63" s="787"/>
      <c r="D63" s="787"/>
      <c r="E63" s="788"/>
      <c r="F63" s="788"/>
      <c r="G63" s="7"/>
      <c r="K63" s="527"/>
      <c r="L63" s="787"/>
      <c r="M63" s="787"/>
      <c r="N63" s="788"/>
      <c r="O63" s="788"/>
      <c r="P63" s="7"/>
      <c r="BD63" s="322"/>
      <c r="BE63" s="322"/>
      <c r="BF63" s="322"/>
      <c r="BG63" s="322"/>
      <c r="BH63" s="322"/>
      <c r="BI63" s="322"/>
      <c r="BJ63" s="322"/>
      <c r="BK63" s="322"/>
    </row>
    <row r="64" spans="2:63" x14ac:dyDescent="0.3">
      <c r="B64" s="527"/>
      <c r="C64" s="527"/>
      <c r="D64" s="527"/>
      <c r="E64" s="7"/>
      <c r="F64" s="7"/>
      <c r="G64" s="7"/>
      <c r="K64" s="527"/>
      <c r="L64" s="527"/>
      <c r="M64" s="527"/>
      <c r="N64" s="7"/>
      <c r="O64" s="7"/>
      <c r="P64" s="7"/>
      <c r="BD64" s="322"/>
    </row>
    <row r="65" spans="2:56" x14ac:dyDescent="0.3">
      <c r="B65" s="527"/>
      <c r="C65" s="789"/>
      <c r="D65" s="789"/>
      <c r="E65" s="7"/>
      <c r="F65" s="7"/>
      <c r="G65" s="7"/>
      <c r="K65" s="527"/>
      <c r="L65" s="789"/>
      <c r="M65" s="789"/>
      <c r="N65" s="7"/>
      <c r="O65" s="7"/>
      <c r="P65" s="7"/>
      <c r="BD65" s="322"/>
    </row>
    <row r="66" spans="2:56" x14ac:dyDescent="0.3">
      <c r="B66" s="527"/>
      <c r="C66" s="789"/>
      <c r="D66" s="789"/>
      <c r="E66" s="788"/>
      <c r="F66" s="788"/>
      <c r="G66" s="7"/>
      <c r="K66" s="527"/>
      <c r="L66" s="789"/>
      <c r="M66" s="789"/>
      <c r="N66" s="788"/>
      <c r="O66" s="788"/>
      <c r="P66" s="7"/>
      <c r="BD66" s="322"/>
    </row>
    <row r="67" spans="2:56" x14ac:dyDescent="0.3">
      <c r="B67" s="527"/>
      <c r="C67" s="787"/>
      <c r="D67" s="787"/>
      <c r="E67" s="788"/>
      <c r="F67" s="788"/>
      <c r="G67" s="7"/>
      <c r="K67" s="527"/>
      <c r="L67" s="787"/>
      <c r="M67" s="787"/>
      <c r="N67" s="788"/>
      <c r="O67" s="788"/>
      <c r="P67" s="7"/>
      <c r="BD67" s="322"/>
    </row>
    <row r="68" spans="2:56" x14ac:dyDescent="0.3">
      <c r="B68" s="527"/>
      <c r="C68" s="17"/>
      <c r="D68" s="527"/>
      <c r="E68" s="18"/>
      <c r="F68" s="7"/>
      <c r="G68" s="7"/>
      <c r="K68" s="527"/>
      <c r="L68" s="17"/>
      <c r="M68" s="527"/>
      <c r="N68" s="18"/>
      <c r="O68" s="7"/>
      <c r="P68" s="7"/>
    </row>
    <row r="69" spans="2:56" x14ac:dyDescent="0.3">
      <c r="B69" s="527"/>
      <c r="C69" s="17"/>
      <c r="D69" s="17"/>
      <c r="E69" s="18"/>
      <c r="F69" s="18"/>
      <c r="G69" s="6"/>
      <c r="K69" s="527"/>
      <c r="L69" s="17"/>
      <c r="M69" s="17"/>
      <c r="N69" s="18"/>
      <c r="O69" s="18"/>
      <c r="P69" s="6"/>
    </row>
    <row r="70" spans="2:56" x14ac:dyDescent="0.3">
      <c r="E70" s="19"/>
      <c r="F70" s="19"/>
      <c r="N70" s="19"/>
      <c r="O70" s="19"/>
    </row>
    <row r="71" spans="2:56" x14ac:dyDescent="0.3">
      <c r="E71" s="19"/>
      <c r="F71" s="19"/>
      <c r="N71" s="19"/>
      <c r="O71" s="19"/>
    </row>
  </sheetData>
  <mergeCells count="117">
    <mergeCell ref="L3:P3"/>
    <mergeCell ref="L55:O55"/>
    <mergeCell ref="L9:M9"/>
    <mergeCell ref="L10:M10"/>
    <mergeCell ref="L34:M34"/>
    <mergeCell ref="L35:M35"/>
    <mergeCell ref="L54:M54"/>
    <mergeCell ref="L59:M59"/>
    <mergeCell ref="L60:M60"/>
    <mergeCell ref="N60:O60"/>
    <mergeCell ref="L53:O53"/>
    <mergeCell ref="L5:O5"/>
    <mergeCell ref="K4:O4"/>
    <mergeCell ref="L16:M16"/>
    <mergeCell ref="L7:M7"/>
    <mergeCell ref="L15:M15"/>
    <mergeCell ref="L13:O13"/>
    <mergeCell ref="N12:O12"/>
    <mergeCell ref="N9:O9"/>
    <mergeCell ref="N10:O10"/>
    <mergeCell ref="L8:O8"/>
    <mergeCell ref="L12:M12"/>
    <mergeCell ref="L57:M57"/>
    <mergeCell ref="L56:M56"/>
    <mergeCell ref="N57:O57"/>
    <mergeCell ref="N56:O56"/>
    <mergeCell ref="N54:O54"/>
    <mergeCell ref="L67:M67"/>
    <mergeCell ref="N66:O66"/>
    <mergeCell ref="N67:O67"/>
    <mergeCell ref="N63:O63"/>
    <mergeCell ref="N62:O62"/>
    <mergeCell ref="L62:M62"/>
    <mergeCell ref="L63:M63"/>
    <mergeCell ref="L66:M66"/>
    <mergeCell ref="L65:M65"/>
    <mergeCell ref="AO9:AP9"/>
    <mergeCell ref="AD3:AH3"/>
    <mergeCell ref="AM3:AQ3"/>
    <mergeCell ref="AC4:AG4"/>
    <mergeCell ref="AL4:AP4"/>
    <mergeCell ref="AD5:AG5"/>
    <mergeCell ref="AM5:AP5"/>
    <mergeCell ref="AD7:AE7"/>
    <mergeCell ref="AM7:AN7"/>
    <mergeCell ref="AD8:AG8"/>
    <mergeCell ref="AM8:AP8"/>
    <mergeCell ref="AD9:AE9"/>
    <mergeCell ref="AO38:AP38"/>
    <mergeCell ref="AF39:AG39"/>
    <mergeCell ref="AO39:AP39"/>
    <mergeCell ref="AD16:AE16"/>
    <mergeCell ref="AF10:AG10"/>
    <mergeCell ref="AM10:AN10"/>
    <mergeCell ref="AO10:AP10"/>
    <mergeCell ref="AD15:AE15"/>
    <mergeCell ref="AM15:AN15"/>
    <mergeCell ref="AD10:AE10"/>
    <mergeCell ref="U7:V7"/>
    <mergeCell ref="U8:X8"/>
    <mergeCell ref="U10:V10"/>
    <mergeCell ref="W10:X10"/>
    <mergeCell ref="U15:V15"/>
    <mergeCell ref="U16:V16"/>
    <mergeCell ref="W35:X35"/>
    <mergeCell ref="AM16:AN16"/>
    <mergeCell ref="AF38:AG38"/>
    <mergeCell ref="W36:X36"/>
    <mergeCell ref="AF9:AG9"/>
    <mergeCell ref="AM9:AN9"/>
    <mergeCell ref="AO42:AP42"/>
    <mergeCell ref="AF43:AG43"/>
    <mergeCell ref="AO43:AP43"/>
    <mergeCell ref="C3:G3"/>
    <mergeCell ref="B4:F4"/>
    <mergeCell ref="C5:F5"/>
    <mergeCell ref="C7:D7"/>
    <mergeCell ref="C8:F8"/>
    <mergeCell ref="C9:D9"/>
    <mergeCell ref="E9:F9"/>
    <mergeCell ref="C10:D10"/>
    <mergeCell ref="E10:F10"/>
    <mergeCell ref="C12:D12"/>
    <mergeCell ref="E12:F12"/>
    <mergeCell ref="C13:F13"/>
    <mergeCell ref="C15:D15"/>
    <mergeCell ref="U9:V9"/>
    <mergeCell ref="W9:X9"/>
    <mergeCell ref="W39:X39"/>
    <mergeCell ref="W40:X40"/>
    <mergeCell ref="AF42:AG42"/>
    <mergeCell ref="U3:Y3"/>
    <mergeCell ref="T4:X4"/>
    <mergeCell ref="U5:X5"/>
    <mergeCell ref="C55:F55"/>
    <mergeCell ref="C56:D56"/>
    <mergeCell ref="E56:F56"/>
    <mergeCell ref="C57:D57"/>
    <mergeCell ref="E57:F57"/>
    <mergeCell ref="C16:D16"/>
    <mergeCell ref="C34:D34"/>
    <mergeCell ref="C35:D35"/>
    <mergeCell ref="C53:F53"/>
    <mergeCell ref="C54:D54"/>
    <mergeCell ref="E54:F54"/>
    <mergeCell ref="C67:D67"/>
    <mergeCell ref="E67:F67"/>
    <mergeCell ref="C63:D63"/>
    <mergeCell ref="E63:F63"/>
    <mergeCell ref="C65:D65"/>
    <mergeCell ref="C66:D66"/>
    <mergeCell ref="E66:F66"/>
    <mergeCell ref="C59:D59"/>
    <mergeCell ref="C60:D60"/>
    <mergeCell ref="E60:F60"/>
    <mergeCell ref="C62:D62"/>
    <mergeCell ref="E62:F62"/>
  </mergeCells>
  <dataValidations count="3">
    <dataValidation type="whole" allowBlank="1" showInputMessage="1" showErrorMessage="1" sqref="N62 E9 E56 E62 W9 W35 AF9 AF38 AO9 AO38 N9 N56" xr:uid="{00000000-0002-0000-0100-000000000000}">
      <formula1>-999999999</formula1>
      <formula2>999999999</formula2>
    </dataValidation>
    <dataValidation type="list" allowBlank="1" showInputMessage="1" showErrorMessage="1" sqref="N66 E66" xr:uid="{00000000-0002-0000-0100-000001000000}">
      <formula1>$AC$75:$AC$76</formula1>
    </dataValidation>
    <dataValidation type="list" allowBlank="1" showInputMessage="1" showErrorMessage="1" sqref="AO42 W39 AF42" xr:uid="{00000000-0002-0000-0100-000002000000}">
      <formula1>#REF!</formula1>
    </dataValidation>
  </dataValidations>
  <pageMargins left="0.25" right="0.25" top="0.18" bottom="0.19" header="0.17" footer="0.17"/>
  <pageSetup scale="95"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1:L253"/>
  <sheetViews>
    <sheetView zoomScale="85" zoomScaleNormal="85" workbookViewId="0">
      <selection activeCell="G6" sqref="G6"/>
    </sheetView>
  </sheetViews>
  <sheetFormatPr defaultColWidth="9.1796875" defaultRowHeight="14" x14ac:dyDescent="0.3"/>
  <cols>
    <col min="1" max="1" width="1.26953125" style="13" customWidth="1"/>
    <col min="2" max="2" width="1.81640625" style="13" customWidth="1"/>
    <col min="3" max="3" width="24" style="13" customWidth="1"/>
    <col min="4" max="4" width="23.1796875" style="13" customWidth="1"/>
    <col min="5" max="5" width="17.81640625" style="13" customWidth="1"/>
    <col min="6" max="6" width="19.7265625" style="13" customWidth="1"/>
    <col min="7" max="7" width="27.7265625" style="13" customWidth="1"/>
    <col min="8" max="8" width="15.7265625" style="13" customWidth="1"/>
    <col min="9" max="9" width="1.54296875" style="13" customWidth="1"/>
    <col min="10" max="16384" width="9.1796875" style="13"/>
  </cols>
  <sheetData>
    <row r="1" spans="2:9" ht="14.5" thickBot="1" x14ac:dyDescent="0.35"/>
    <row r="2" spans="2:9" ht="14.5" thickBot="1" x14ac:dyDescent="0.35">
      <c r="B2" s="72"/>
      <c r="C2" s="41"/>
      <c r="D2" s="41"/>
      <c r="E2" s="41"/>
      <c r="F2" s="41"/>
      <c r="G2" s="41"/>
      <c r="H2" s="41"/>
      <c r="I2" s="42"/>
    </row>
    <row r="3" spans="2:9" ht="14.5" thickBot="1" x14ac:dyDescent="0.35">
      <c r="B3" s="73"/>
      <c r="C3" s="801" t="s">
        <v>329</v>
      </c>
      <c r="D3" s="802"/>
      <c r="E3" s="802"/>
      <c r="F3" s="802"/>
      <c r="G3" s="802"/>
      <c r="H3" s="803"/>
      <c r="I3" s="31"/>
    </row>
    <row r="4" spans="2:9" x14ac:dyDescent="0.3">
      <c r="B4" s="827"/>
      <c r="C4" s="828"/>
      <c r="D4" s="828"/>
      <c r="E4" s="828"/>
      <c r="F4" s="828"/>
      <c r="G4" s="828"/>
      <c r="H4" s="828"/>
      <c r="I4" s="31"/>
    </row>
    <row r="5" spans="2:9" ht="14.5" thickBot="1" x14ac:dyDescent="0.35">
      <c r="B5" s="32"/>
      <c r="C5" s="829" t="s">
        <v>330</v>
      </c>
      <c r="D5" s="829"/>
      <c r="E5" s="829"/>
      <c r="F5" s="829"/>
      <c r="G5" s="829"/>
      <c r="H5" s="829"/>
      <c r="I5" s="31"/>
    </row>
    <row r="6" spans="2:9" ht="14.5" thickBot="1" x14ac:dyDescent="0.35">
      <c r="B6" s="32"/>
      <c r="C6" s="829" t="s">
        <v>331</v>
      </c>
      <c r="D6" s="829"/>
      <c r="E6" s="829"/>
      <c r="F6" s="830"/>
      <c r="G6" s="526">
        <v>25</v>
      </c>
      <c r="H6" s="33"/>
      <c r="I6" s="31"/>
    </row>
    <row r="7" spans="2:9" x14ac:dyDescent="0.3">
      <c r="B7" s="32"/>
      <c r="C7" s="33"/>
      <c r="D7" s="34"/>
      <c r="E7" s="33"/>
      <c r="F7" s="33"/>
      <c r="G7" s="33"/>
      <c r="H7" s="33"/>
      <c r="I7" s="31"/>
    </row>
    <row r="8" spans="2:9" x14ac:dyDescent="0.3">
      <c r="B8" s="32"/>
      <c r="C8" s="825" t="s">
        <v>332</v>
      </c>
      <c r="D8" s="825"/>
      <c r="E8" s="35"/>
      <c r="F8" s="35"/>
      <c r="G8" s="35"/>
      <c r="H8" s="35"/>
      <c r="I8" s="31"/>
    </row>
    <row r="9" spans="2:9" ht="14.5" thickBot="1" x14ac:dyDescent="0.35">
      <c r="B9" s="32"/>
      <c r="C9" s="825" t="s">
        <v>333</v>
      </c>
      <c r="D9" s="825"/>
      <c r="E9" s="825"/>
      <c r="F9" s="825"/>
      <c r="G9" s="825"/>
      <c r="H9" s="825"/>
      <c r="I9" s="31"/>
    </row>
    <row r="10" spans="2:9" ht="42" x14ac:dyDescent="0.3">
      <c r="B10" s="32"/>
      <c r="C10" s="21" t="s">
        <v>334</v>
      </c>
      <c r="D10" s="22" t="s">
        <v>335</v>
      </c>
      <c r="E10" s="90" t="s">
        <v>336</v>
      </c>
      <c r="F10" s="90" t="s">
        <v>337</v>
      </c>
      <c r="G10" s="90" t="s">
        <v>338</v>
      </c>
      <c r="H10" s="23" t="s">
        <v>339</v>
      </c>
      <c r="I10" s="31"/>
    </row>
    <row r="11" spans="2:9" ht="140" x14ac:dyDescent="0.3">
      <c r="B11" s="32"/>
      <c r="C11" s="563" t="s">
        <v>340</v>
      </c>
      <c r="D11" s="564" t="s">
        <v>1341</v>
      </c>
      <c r="E11" s="565">
        <v>19200</v>
      </c>
      <c r="F11" s="566" t="s">
        <v>341</v>
      </c>
      <c r="G11" s="565">
        <v>19200</v>
      </c>
      <c r="H11" s="567">
        <v>0</v>
      </c>
      <c r="I11" s="31"/>
    </row>
    <row r="12" spans="2:9" ht="56" x14ac:dyDescent="0.3">
      <c r="B12" s="32"/>
      <c r="C12" s="568" t="s">
        <v>342</v>
      </c>
      <c r="D12" s="569" t="s">
        <v>343</v>
      </c>
      <c r="E12" s="570">
        <v>54021.22</v>
      </c>
      <c r="F12" s="571" t="s">
        <v>344</v>
      </c>
      <c r="G12" s="570">
        <v>54021.22</v>
      </c>
      <c r="H12" s="572">
        <v>0</v>
      </c>
      <c r="I12" s="31"/>
    </row>
    <row r="13" spans="2:9" x14ac:dyDescent="0.3">
      <c r="B13" s="32"/>
      <c r="C13" s="568" t="s">
        <v>342</v>
      </c>
      <c r="D13" s="569" t="s">
        <v>345</v>
      </c>
      <c r="E13" s="570">
        <v>133000</v>
      </c>
      <c r="F13" s="571" t="s">
        <v>346</v>
      </c>
      <c r="G13" s="570">
        <v>65793</v>
      </c>
      <c r="H13" s="572">
        <v>67207</v>
      </c>
      <c r="I13" s="31"/>
    </row>
    <row r="14" spans="2:9" ht="42" x14ac:dyDescent="0.3">
      <c r="B14" s="32"/>
      <c r="C14" s="568" t="s">
        <v>342</v>
      </c>
      <c r="D14" s="569" t="s">
        <v>347</v>
      </c>
      <c r="E14" s="570">
        <v>14690.66</v>
      </c>
      <c r="F14" s="571" t="s">
        <v>348</v>
      </c>
      <c r="G14" s="570">
        <v>14690.66</v>
      </c>
      <c r="H14" s="572">
        <v>0</v>
      </c>
      <c r="I14" s="31"/>
    </row>
    <row r="15" spans="2:9" ht="28" x14ac:dyDescent="0.3">
      <c r="B15" s="32"/>
      <c r="C15" s="568" t="s">
        <v>342</v>
      </c>
      <c r="D15" s="569" t="s">
        <v>349</v>
      </c>
      <c r="E15" s="570">
        <v>47548.91</v>
      </c>
      <c r="F15" s="571" t="s">
        <v>350</v>
      </c>
      <c r="G15" s="570">
        <v>47548.91</v>
      </c>
      <c r="H15" s="572">
        <v>0</v>
      </c>
      <c r="I15" s="31"/>
    </row>
    <row r="16" spans="2:9" ht="28" x14ac:dyDescent="0.3">
      <c r="B16" s="32"/>
      <c r="C16" s="568" t="s">
        <v>342</v>
      </c>
      <c r="D16" s="569" t="s">
        <v>349</v>
      </c>
      <c r="E16" s="570">
        <v>55641</v>
      </c>
      <c r="F16" s="571" t="s">
        <v>351</v>
      </c>
      <c r="G16" s="570">
        <v>55641</v>
      </c>
      <c r="H16" s="572">
        <v>0</v>
      </c>
      <c r="I16" s="31"/>
    </row>
    <row r="17" spans="2:9" ht="98" x14ac:dyDescent="0.3">
      <c r="B17" s="32"/>
      <c r="C17" s="573" t="s">
        <v>342</v>
      </c>
      <c r="D17" s="574" t="s">
        <v>352</v>
      </c>
      <c r="E17" s="575">
        <v>2650</v>
      </c>
      <c r="F17" s="576">
        <v>42353</v>
      </c>
      <c r="G17" s="575">
        <v>2650</v>
      </c>
      <c r="H17" s="567">
        <f t="shared" ref="H17:H28" si="0">+E17-G17</f>
        <v>0</v>
      </c>
      <c r="I17" s="31"/>
    </row>
    <row r="18" spans="2:9" ht="112" x14ac:dyDescent="0.3">
      <c r="B18" s="32"/>
      <c r="C18" s="573" t="s">
        <v>342</v>
      </c>
      <c r="D18" s="574" t="s">
        <v>353</v>
      </c>
      <c r="E18" s="575">
        <v>2820</v>
      </c>
      <c r="F18" s="576">
        <v>42345</v>
      </c>
      <c r="G18" s="575">
        <v>2820</v>
      </c>
      <c r="H18" s="567">
        <f t="shared" si="0"/>
        <v>0</v>
      </c>
      <c r="I18" s="31"/>
    </row>
    <row r="19" spans="2:9" ht="112" x14ac:dyDescent="0.3">
      <c r="B19" s="32"/>
      <c r="C19" s="573" t="s">
        <v>342</v>
      </c>
      <c r="D19" s="574" t="s">
        <v>354</v>
      </c>
      <c r="E19" s="575">
        <v>7250</v>
      </c>
      <c r="F19" s="576">
        <v>42345</v>
      </c>
      <c r="G19" s="575">
        <v>7250</v>
      </c>
      <c r="H19" s="567">
        <f t="shared" si="0"/>
        <v>0</v>
      </c>
      <c r="I19" s="31"/>
    </row>
    <row r="20" spans="2:9" ht="140" x14ac:dyDescent="0.3">
      <c r="B20" s="32"/>
      <c r="C20" s="573" t="s">
        <v>342</v>
      </c>
      <c r="D20" s="574" t="s">
        <v>355</v>
      </c>
      <c r="E20" s="575">
        <v>10918.2</v>
      </c>
      <c r="F20" s="576">
        <v>42332</v>
      </c>
      <c r="G20" s="575">
        <v>10918.2</v>
      </c>
      <c r="H20" s="567">
        <f t="shared" si="0"/>
        <v>0</v>
      </c>
      <c r="I20" s="31"/>
    </row>
    <row r="21" spans="2:9" ht="140" x14ac:dyDescent="0.3">
      <c r="B21" s="32"/>
      <c r="C21" s="573" t="s">
        <v>342</v>
      </c>
      <c r="D21" s="574" t="s">
        <v>356</v>
      </c>
      <c r="E21" s="575">
        <v>2768.5</v>
      </c>
      <c r="F21" s="576">
        <v>42320</v>
      </c>
      <c r="G21" s="575">
        <v>2768.5</v>
      </c>
      <c r="H21" s="567">
        <f t="shared" si="0"/>
        <v>0</v>
      </c>
      <c r="I21" s="31"/>
    </row>
    <row r="22" spans="2:9" ht="140" x14ac:dyDescent="0.3">
      <c r="B22" s="32"/>
      <c r="C22" s="573" t="s">
        <v>342</v>
      </c>
      <c r="D22" s="574" t="s">
        <v>357</v>
      </c>
      <c r="E22" s="575">
        <v>37000</v>
      </c>
      <c r="F22" s="576">
        <v>42417</v>
      </c>
      <c r="G22" s="575">
        <v>37000</v>
      </c>
      <c r="H22" s="567">
        <f t="shared" si="0"/>
        <v>0</v>
      </c>
      <c r="I22" s="31"/>
    </row>
    <row r="23" spans="2:9" ht="182" x14ac:dyDescent="0.3">
      <c r="B23" s="32"/>
      <c r="C23" s="573" t="s">
        <v>342</v>
      </c>
      <c r="D23" s="574" t="s">
        <v>358</v>
      </c>
      <c r="E23" s="575">
        <v>38300</v>
      </c>
      <c r="F23" s="576">
        <v>42261</v>
      </c>
      <c r="G23" s="575">
        <v>38300</v>
      </c>
      <c r="H23" s="567">
        <f t="shared" si="0"/>
        <v>0</v>
      </c>
      <c r="I23" s="31"/>
    </row>
    <row r="24" spans="2:9" ht="84" x14ac:dyDescent="0.3">
      <c r="B24" s="32"/>
      <c r="C24" s="573" t="s">
        <v>342</v>
      </c>
      <c r="D24" s="574" t="s">
        <v>359</v>
      </c>
      <c r="E24" s="575">
        <v>4400</v>
      </c>
      <c r="F24" s="576">
        <v>42254</v>
      </c>
      <c r="G24" s="575">
        <v>4400</v>
      </c>
      <c r="H24" s="567">
        <f t="shared" si="0"/>
        <v>0</v>
      </c>
      <c r="I24" s="31"/>
    </row>
    <row r="25" spans="2:9" ht="112" x14ac:dyDescent="0.3">
      <c r="B25" s="32"/>
      <c r="C25" s="573" t="s">
        <v>342</v>
      </c>
      <c r="D25" s="365" t="s">
        <v>360</v>
      </c>
      <c r="E25" s="577">
        <v>11191.74</v>
      </c>
      <c r="F25" s="576">
        <v>42394</v>
      </c>
      <c r="G25" s="575">
        <v>11191.74</v>
      </c>
      <c r="H25" s="567">
        <f t="shared" si="0"/>
        <v>0</v>
      </c>
      <c r="I25" s="31"/>
    </row>
    <row r="26" spans="2:9" ht="98" x14ac:dyDescent="0.3">
      <c r="B26" s="32"/>
      <c r="C26" s="573" t="s">
        <v>342</v>
      </c>
      <c r="D26" s="574" t="s">
        <v>361</v>
      </c>
      <c r="E26" s="578">
        <v>15719.98</v>
      </c>
      <c r="F26" s="576">
        <v>42445</v>
      </c>
      <c r="G26" s="575">
        <v>15719.98</v>
      </c>
      <c r="H26" s="567">
        <f t="shared" si="0"/>
        <v>0</v>
      </c>
      <c r="I26" s="31"/>
    </row>
    <row r="27" spans="2:9" ht="126" x14ac:dyDescent="0.3">
      <c r="B27" s="32"/>
      <c r="C27" s="573" t="s">
        <v>342</v>
      </c>
      <c r="D27" s="365" t="s">
        <v>362</v>
      </c>
      <c r="E27" s="577">
        <v>2557.1</v>
      </c>
      <c r="F27" s="576">
        <v>42029</v>
      </c>
      <c r="G27" s="575">
        <v>2557.1</v>
      </c>
      <c r="H27" s="567">
        <f t="shared" si="0"/>
        <v>0</v>
      </c>
      <c r="I27" s="31"/>
    </row>
    <row r="28" spans="2:9" ht="140.5" thickBot="1" x14ac:dyDescent="0.35">
      <c r="B28" s="32"/>
      <c r="C28" s="573" t="s">
        <v>342</v>
      </c>
      <c r="D28" s="366" t="s">
        <v>363</v>
      </c>
      <c r="E28" s="575">
        <v>3000</v>
      </c>
      <c r="F28" s="576" t="s">
        <v>364</v>
      </c>
      <c r="G28" s="575">
        <v>2400</v>
      </c>
      <c r="H28" s="567">
        <f t="shared" si="0"/>
        <v>600</v>
      </c>
      <c r="I28" s="31"/>
    </row>
    <row r="29" spans="2:9" ht="42" x14ac:dyDescent="0.3">
      <c r="B29" s="32"/>
      <c r="C29" s="579" t="s">
        <v>365</v>
      </c>
      <c r="D29" s="564" t="s">
        <v>366</v>
      </c>
      <c r="E29" s="565">
        <v>335389.59999999998</v>
      </c>
      <c r="F29" s="566" t="s">
        <v>367</v>
      </c>
      <c r="G29" s="565">
        <f>119512.4+13682.2</f>
        <v>133194.6</v>
      </c>
      <c r="H29" s="567">
        <f>E29-G29</f>
        <v>202194.99999999997</v>
      </c>
      <c r="I29" s="31"/>
    </row>
    <row r="30" spans="2:9" ht="26" x14ac:dyDescent="0.3">
      <c r="B30" s="32"/>
      <c r="C30" s="580" t="s">
        <v>342</v>
      </c>
      <c r="D30" s="581" t="s">
        <v>368</v>
      </c>
      <c r="E30" s="582">
        <v>51837.53</v>
      </c>
      <c r="F30" s="583">
        <v>42388</v>
      </c>
      <c r="G30" s="584">
        <f t="shared" ref="G30:G66" si="1">+E30</f>
        <v>51837.53</v>
      </c>
      <c r="H30" s="585">
        <f t="shared" ref="H30:H31" si="2">E30-G30</f>
        <v>0</v>
      </c>
      <c r="I30" s="31"/>
    </row>
    <row r="31" spans="2:9" ht="26" x14ac:dyDescent="0.3">
      <c r="B31" s="32"/>
      <c r="C31" s="580" t="s">
        <v>342</v>
      </c>
      <c r="D31" s="581" t="s">
        <v>369</v>
      </c>
      <c r="E31" s="582">
        <v>69411.199999999997</v>
      </c>
      <c r="F31" s="583">
        <v>42425</v>
      </c>
      <c r="G31" s="584">
        <f t="shared" si="1"/>
        <v>69411.199999999997</v>
      </c>
      <c r="H31" s="585">
        <f t="shared" si="2"/>
        <v>0</v>
      </c>
      <c r="I31" s="31"/>
    </row>
    <row r="32" spans="2:9" ht="26" x14ac:dyDescent="0.3">
      <c r="B32" s="32"/>
      <c r="C32" s="580" t="s">
        <v>342</v>
      </c>
      <c r="D32" s="581" t="s">
        <v>370</v>
      </c>
      <c r="E32" s="582">
        <v>22034.73</v>
      </c>
      <c r="F32" s="583">
        <v>42425</v>
      </c>
      <c r="G32" s="584">
        <f t="shared" si="1"/>
        <v>22034.73</v>
      </c>
      <c r="H32" s="585">
        <f>E32-G32</f>
        <v>0</v>
      </c>
      <c r="I32" s="31"/>
    </row>
    <row r="33" spans="2:9" ht="26" x14ac:dyDescent="0.3">
      <c r="B33" s="32"/>
      <c r="C33" s="580" t="s">
        <v>342</v>
      </c>
      <c r="D33" s="581" t="s">
        <v>371</v>
      </c>
      <c r="E33" s="582">
        <v>118636.4</v>
      </c>
      <c r="F33" s="583">
        <v>42425</v>
      </c>
      <c r="G33" s="584">
        <f t="shared" si="1"/>
        <v>118636.4</v>
      </c>
      <c r="H33" s="585">
        <f>E33-G33</f>
        <v>0</v>
      </c>
      <c r="I33" s="31"/>
    </row>
    <row r="34" spans="2:9" x14ac:dyDescent="0.3">
      <c r="B34" s="32"/>
      <c r="C34" s="580" t="s">
        <v>342</v>
      </c>
      <c r="D34" s="581" t="s">
        <v>372</v>
      </c>
      <c r="E34" s="582">
        <v>78285.94</v>
      </c>
      <c r="F34" s="583">
        <v>42431</v>
      </c>
      <c r="G34" s="584">
        <f t="shared" si="1"/>
        <v>78285.94</v>
      </c>
      <c r="H34" s="585">
        <f>E34-G34</f>
        <v>0</v>
      </c>
      <c r="I34" s="31"/>
    </row>
    <row r="35" spans="2:9" ht="26" x14ac:dyDescent="0.3">
      <c r="B35" s="32"/>
      <c r="C35" s="580" t="s">
        <v>342</v>
      </c>
      <c r="D35" s="581" t="s">
        <v>373</v>
      </c>
      <c r="E35" s="582">
        <v>59695.28</v>
      </c>
      <c r="F35" s="583">
        <v>42460</v>
      </c>
      <c r="G35" s="584">
        <f t="shared" si="1"/>
        <v>59695.28</v>
      </c>
      <c r="H35" s="585"/>
      <c r="I35" s="31"/>
    </row>
    <row r="36" spans="2:9" ht="26" x14ac:dyDescent="0.3">
      <c r="B36" s="32"/>
      <c r="C36" s="580" t="s">
        <v>342</v>
      </c>
      <c r="D36" s="581" t="s">
        <v>374</v>
      </c>
      <c r="E36" s="582">
        <v>60370.400000000001</v>
      </c>
      <c r="F36" s="583">
        <v>42460</v>
      </c>
      <c r="G36" s="584">
        <f t="shared" si="1"/>
        <v>60370.400000000001</v>
      </c>
      <c r="H36" s="585">
        <f>E36-G36</f>
        <v>0</v>
      </c>
      <c r="I36" s="31"/>
    </row>
    <row r="37" spans="2:9" ht="26" x14ac:dyDescent="0.3">
      <c r="B37" s="32"/>
      <c r="C37" s="580" t="s">
        <v>342</v>
      </c>
      <c r="D37" s="581" t="s">
        <v>375</v>
      </c>
      <c r="E37" s="582">
        <v>40468.590000000004</v>
      </c>
      <c r="F37" s="583">
        <v>42502</v>
      </c>
      <c r="G37" s="584">
        <f t="shared" si="1"/>
        <v>40468.590000000004</v>
      </c>
      <c r="H37" s="585"/>
      <c r="I37" s="31"/>
    </row>
    <row r="38" spans="2:9" ht="26" x14ac:dyDescent="0.3">
      <c r="B38" s="32"/>
      <c r="C38" s="580" t="s">
        <v>342</v>
      </c>
      <c r="D38" s="581" t="s">
        <v>373</v>
      </c>
      <c r="E38" s="582">
        <v>10621.2</v>
      </c>
      <c r="F38" s="583">
        <v>42509</v>
      </c>
      <c r="G38" s="584">
        <f t="shared" si="1"/>
        <v>10621.2</v>
      </c>
      <c r="H38" s="585"/>
      <c r="I38" s="31"/>
    </row>
    <row r="39" spans="2:9" ht="26" x14ac:dyDescent="0.3">
      <c r="B39" s="32"/>
      <c r="C39" s="580" t="s">
        <v>342</v>
      </c>
      <c r="D39" s="581" t="s">
        <v>369</v>
      </c>
      <c r="E39" s="582">
        <v>18421.599999999999</v>
      </c>
      <c r="F39" s="583">
        <v>42524</v>
      </c>
      <c r="G39" s="584">
        <f t="shared" si="1"/>
        <v>18421.599999999999</v>
      </c>
      <c r="H39" s="585"/>
      <c r="I39" s="31"/>
    </row>
    <row r="40" spans="2:9" ht="26" x14ac:dyDescent="0.3">
      <c r="B40" s="32"/>
      <c r="C40" s="580" t="s">
        <v>342</v>
      </c>
      <c r="D40" s="581" t="s">
        <v>377</v>
      </c>
      <c r="E40" s="582">
        <v>17590.2</v>
      </c>
      <c r="F40" s="583">
        <v>42534</v>
      </c>
      <c r="G40" s="584">
        <f>+E40</f>
        <v>17590.2</v>
      </c>
      <c r="H40" s="585">
        <f>E40-G40</f>
        <v>0</v>
      </c>
      <c r="I40" s="31"/>
    </row>
    <row r="41" spans="2:9" ht="26" x14ac:dyDescent="0.3">
      <c r="B41" s="32"/>
      <c r="C41" s="580" t="s">
        <v>342</v>
      </c>
      <c r="D41" s="581" t="s">
        <v>369</v>
      </c>
      <c r="E41" s="582">
        <v>11217.96</v>
      </c>
      <c r="F41" s="583">
        <v>42565</v>
      </c>
      <c r="G41" s="584">
        <f t="shared" si="1"/>
        <v>11217.96</v>
      </c>
      <c r="H41" s="585"/>
      <c r="I41" s="31"/>
    </row>
    <row r="42" spans="2:9" x14ac:dyDescent="0.3">
      <c r="B42" s="32"/>
      <c r="C42" s="580" t="s">
        <v>342</v>
      </c>
      <c r="D42" s="581" t="s">
        <v>372</v>
      </c>
      <c r="E42" s="582">
        <v>12044</v>
      </c>
      <c r="F42" s="583">
        <v>42565</v>
      </c>
      <c r="G42" s="584">
        <f t="shared" si="1"/>
        <v>12044</v>
      </c>
      <c r="H42" s="585"/>
      <c r="I42" s="31"/>
    </row>
    <row r="43" spans="2:9" ht="26" x14ac:dyDescent="0.3">
      <c r="B43" s="32"/>
      <c r="C43" s="580" t="s">
        <v>342</v>
      </c>
      <c r="D43" s="581" t="s">
        <v>373</v>
      </c>
      <c r="E43" s="582">
        <v>6076.31</v>
      </c>
      <c r="F43" s="583">
        <v>42565</v>
      </c>
      <c r="G43" s="584">
        <f t="shared" si="1"/>
        <v>6076.31</v>
      </c>
      <c r="H43" s="585"/>
      <c r="I43" s="31"/>
    </row>
    <row r="44" spans="2:9" ht="26" x14ac:dyDescent="0.3">
      <c r="B44" s="32"/>
      <c r="C44" s="580" t="s">
        <v>342</v>
      </c>
      <c r="D44" s="581" t="s">
        <v>375</v>
      </c>
      <c r="E44" s="582">
        <v>11973.8</v>
      </c>
      <c r="F44" s="583">
        <v>42565</v>
      </c>
      <c r="G44" s="584">
        <f t="shared" si="1"/>
        <v>11973.8</v>
      </c>
      <c r="H44" s="585"/>
      <c r="I44" s="31"/>
    </row>
    <row r="45" spans="2:9" ht="26" x14ac:dyDescent="0.3">
      <c r="B45" s="32"/>
      <c r="C45" s="580" t="s">
        <v>342</v>
      </c>
      <c r="D45" s="581" t="s">
        <v>377</v>
      </c>
      <c r="E45" s="582">
        <v>16394</v>
      </c>
      <c r="F45" s="583">
        <v>42565</v>
      </c>
      <c r="G45" s="584">
        <f t="shared" si="1"/>
        <v>16394</v>
      </c>
      <c r="H45" s="585">
        <f>E45-G45</f>
        <v>0</v>
      </c>
      <c r="I45" s="31"/>
    </row>
    <row r="46" spans="2:9" ht="26" x14ac:dyDescent="0.3">
      <c r="B46" s="32"/>
      <c r="C46" s="580" t="s">
        <v>365</v>
      </c>
      <c r="D46" s="581" t="s">
        <v>374</v>
      </c>
      <c r="E46" s="582">
        <v>109449.85</v>
      </c>
      <c r="F46" s="583">
        <v>42556</v>
      </c>
      <c r="G46" s="584">
        <f t="shared" si="1"/>
        <v>109449.85</v>
      </c>
      <c r="H46" s="585">
        <f>E46-G46</f>
        <v>0</v>
      </c>
      <c r="I46" s="31"/>
    </row>
    <row r="47" spans="2:9" ht="14.5" x14ac:dyDescent="0.35">
      <c r="B47" s="32"/>
      <c r="C47" s="580" t="s">
        <v>365</v>
      </c>
      <c r="D47" s="581" t="s">
        <v>378</v>
      </c>
      <c r="E47" s="367">
        <v>4668.3</v>
      </c>
      <c r="F47" s="583">
        <v>42566</v>
      </c>
      <c r="G47" s="584">
        <f t="shared" si="1"/>
        <v>4668.3</v>
      </c>
      <c r="H47" s="585">
        <f>E47-G47</f>
        <v>0</v>
      </c>
      <c r="I47" s="31"/>
    </row>
    <row r="48" spans="2:9" ht="26" x14ac:dyDescent="0.3">
      <c r="B48" s="32"/>
      <c r="C48" s="580" t="s">
        <v>342</v>
      </c>
      <c r="D48" s="581" t="s">
        <v>371</v>
      </c>
      <c r="E48" s="582">
        <v>10840</v>
      </c>
      <c r="F48" s="583">
        <v>42601</v>
      </c>
      <c r="G48" s="584">
        <f t="shared" si="1"/>
        <v>10840</v>
      </c>
      <c r="H48" s="585"/>
      <c r="I48" s="31"/>
    </row>
    <row r="49" spans="2:9" ht="26" x14ac:dyDescent="0.3">
      <c r="B49" s="32"/>
      <c r="C49" s="580" t="s">
        <v>342</v>
      </c>
      <c r="D49" s="581" t="s">
        <v>375</v>
      </c>
      <c r="E49" s="582">
        <v>41518.449999999997</v>
      </c>
      <c r="F49" s="583">
        <v>42601</v>
      </c>
      <c r="G49" s="584">
        <f t="shared" si="1"/>
        <v>41518.449999999997</v>
      </c>
      <c r="H49" s="585"/>
      <c r="I49" s="31"/>
    </row>
    <row r="50" spans="2:9" ht="26" x14ac:dyDescent="0.3">
      <c r="B50" s="32"/>
      <c r="C50" s="580" t="s">
        <v>342</v>
      </c>
      <c r="D50" s="581" t="s">
        <v>373</v>
      </c>
      <c r="E50" s="582">
        <v>3820</v>
      </c>
      <c r="F50" s="583">
        <v>42601</v>
      </c>
      <c r="G50" s="584">
        <f t="shared" si="1"/>
        <v>3820</v>
      </c>
      <c r="H50" s="585">
        <f t="shared" ref="H50:H54" si="3">E50-G50</f>
        <v>0</v>
      </c>
      <c r="I50" s="31"/>
    </row>
    <row r="51" spans="2:9" ht="26" x14ac:dyDescent="0.3">
      <c r="B51" s="32"/>
      <c r="C51" s="580" t="s">
        <v>342</v>
      </c>
      <c r="D51" s="581" t="s">
        <v>379</v>
      </c>
      <c r="E51" s="582">
        <v>8150</v>
      </c>
      <c r="F51" s="583">
        <v>42605</v>
      </c>
      <c r="G51" s="584">
        <f t="shared" si="1"/>
        <v>8150</v>
      </c>
      <c r="H51" s="585">
        <f t="shared" si="3"/>
        <v>0</v>
      </c>
      <c r="I51" s="31"/>
    </row>
    <row r="52" spans="2:9" x14ac:dyDescent="0.3">
      <c r="B52" s="32"/>
      <c r="C52" s="580" t="s">
        <v>365</v>
      </c>
      <c r="D52" s="581" t="s">
        <v>380</v>
      </c>
      <c r="E52" s="582">
        <v>63265.440000000002</v>
      </c>
      <c r="F52" s="583">
        <v>42601</v>
      </c>
      <c r="G52" s="584">
        <f t="shared" si="1"/>
        <v>63265.440000000002</v>
      </c>
      <c r="H52" s="585">
        <f t="shared" si="3"/>
        <v>0</v>
      </c>
      <c r="I52" s="31"/>
    </row>
    <row r="53" spans="2:9" ht="26" x14ac:dyDescent="0.3">
      <c r="B53" s="32"/>
      <c r="C53" s="580" t="s">
        <v>365</v>
      </c>
      <c r="D53" s="581" t="s">
        <v>381</v>
      </c>
      <c r="E53" s="582">
        <v>165169.63</v>
      </c>
      <c r="F53" s="583">
        <v>42601</v>
      </c>
      <c r="G53" s="584">
        <f t="shared" si="1"/>
        <v>165169.63</v>
      </c>
      <c r="H53" s="585">
        <f t="shared" si="3"/>
        <v>0</v>
      </c>
      <c r="I53" s="31"/>
    </row>
    <row r="54" spans="2:9" ht="26" x14ac:dyDescent="0.3">
      <c r="B54" s="32"/>
      <c r="C54" s="580" t="s">
        <v>365</v>
      </c>
      <c r="D54" s="581" t="s">
        <v>382</v>
      </c>
      <c r="E54" s="582">
        <v>4560</v>
      </c>
      <c r="F54" s="583">
        <v>42590</v>
      </c>
      <c r="G54" s="584">
        <f t="shared" si="1"/>
        <v>4560</v>
      </c>
      <c r="H54" s="585">
        <f t="shared" si="3"/>
        <v>0</v>
      </c>
      <c r="I54" s="31"/>
    </row>
    <row r="55" spans="2:9" ht="26" x14ac:dyDescent="0.3">
      <c r="B55" s="32"/>
      <c r="C55" s="580" t="s">
        <v>342</v>
      </c>
      <c r="D55" s="581" t="s">
        <v>376</v>
      </c>
      <c r="E55" s="582">
        <v>17227</v>
      </c>
      <c r="F55" s="583">
        <v>42629</v>
      </c>
      <c r="G55" s="584">
        <f t="shared" si="1"/>
        <v>17227</v>
      </c>
      <c r="H55" s="585"/>
      <c r="I55" s="31"/>
    </row>
    <row r="56" spans="2:9" ht="26" x14ac:dyDescent="0.3">
      <c r="B56" s="32"/>
      <c r="C56" s="580" t="s">
        <v>342</v>
      </c>
      <c r="D56" s="581" t="s">
        <v>383</v>
      </c>
      <c r="E56" s="582">
        <v>62700</v>
      </c>
      <c r="F56" s="583">
        <v>42629</v>
      </c>
      <c r="G56" s="584">
        <f t="shared" si="1"/>
        <v>62700</v>
      </c>
      <c r="H56" s="585">
        <f>E56-G56</f>
        <v>0</v>
      </c>
      <c r="I56" s="31"/>
    </row>
    <row r="57" spans="2:9" ht="26" x14ac:dyDescent="0.3">
      <c r="B57" s="32"/>
      <c r="C57" s="580" t="s">
        <v>342</v>
      </c>
      <c r="D57" s="581" t="s">
        <v>376</v>
      </c>
      <c r="E57" s="582">
        <v>3910</v>
      </c>
      <c r="F57" s="583">
        <v>42629</v>
      </c>
      <c r="G57" s="584">
        <f>+E57</f>
        <v>3910</v>
      </c>
      <c r="H57" s="585"/>
      <c r="I57" s="31"/>
    </row>
    <row r="58" spans="2:9" ht="26" x14ac:dyDescent="0.3">
      <c r="B58" s="32"/>
      <c r="C58" s="580" t="s">
        <v>342</v>
      </c>
      <c r="D58" s="581" t="s">
        <v>384</v>
      </c>
      <c r="E58" s="582">
        <v>3861.7</v>
      </c>
      <c r="F58" s="583">
        <v>42629</v>
      </c>
      <c r="G58" s="584">
        <f t="shared" si="1"/>
        <v>3861.7</v>
      </c>
      <c r="H58" s="585">
        <f>E58-G58</f>
        <v>0</v>
      </c>
      <c r="I58" s="31"/>
    </row>
    <row r="59" spans="2:9" ht="26" x14ac:dyDescent="0.3">
      <c r="B59" s="32"/>
      <c r="C59" s="580" t="s">
        <v>342</v>
      </c>
      <c r="D59" s="581" t="s">
        <v>375</v>
      </c>
      <c r="E59" s="582">
        <v>13850</v>
      </c>
      <c r="F59" s="583">
        <v>42657</v>
      </c>
      <c r="G59" s="584">
        <f>+E59</f>
        <v>13850</v>
      </c>
      <c r="H59" s="585"/>
      <c r="I59" s="31"/>
    </row>
    <row r="60" spans="2:9" ht="26" x14ac:dyDescent="0.3">
      <c r="B60" s="32"/>
      <c r="C60" s="580" t="s">
        <v>342</v>
      </c>
      <c r="D60" s="581" t="s">
        <v>375</v>
      </c>
      <c r="E60" s="582">
        <v>7671.65</v>
      </c>
      <c r="F60" s="583">
        <v>42657</v>
      </c>
      <c r="G60" s="584">
        <f>+E60</f>
        <v>7671.65</v>
      </c>
      <c r="H60" s="585"/>
      <c r="I60" s="31"/>
    </row>
    <row r="61" spans="2:9" ht="26" x14ac:dyDescent="0.3">
      <c r="B61" s="32"/>
      <c r="C61" s="580" t="s">
        <v>342</v>
      </c>
      <c r="D61" s="581" t="s">
        <v>375</v>
      </c>
      <c r="E61" s="582">
        <v>65370.55</v>
      </c>
      <c r="F61" s="583">
        <v>42657</v>
      </c>
      <c r="G61" s="584">
        <f>+E61</f>
        <v>65370.55</v>
      </c>
      <c r="H61" s="585">
        <f>E61-G61</f>
        <v>0</v>
      </c>
      <c r="I61" s="31"/>
    </row>
    <row r="62" spans="2:9" x14ac:dyDescent="0.3">
      <c r="B62" s="32"/>
      <c r="C62" s="580" t="s">
        <v>342</v>
      </c>
      <c r="D62" s="581" t="s">
        <v>372</v>
      </c>
      <c r="E62" s="582">
        <v>2750.2799999999997</v>
      </c>
      <c r="F62" s="583">
        <v>42671</v>
      </c>
      <c r="G62" s="584">
        <f>+E62</f>
        <v>2750.2799999999997</v>
      </c>
      <c r="H62" s="585"/>
      <c r="I62" s="31"/>
    </row>
    <row r="63" spans="2:9" ht="26" x14ac:dyDescent="0.3">
      <c r="B63" s="32"/>
      <c r="C63" s="580" t="s">
        <v>342</v>
      </c>
      <c r="D63" s="581" t="s">
        <v>370</v>
      </c>
      <c r="E63" s="582">
        <v>15723.51</v>
      </c>
      <c r="F63" s="583">
        <v>42705</v>
      </c>
      <c r="G63" s="584">
        <f t="shared" si="1"/>
        <v>15723.51</v>
      </c>
      <c r="H63" s="585"/>
      <c r="I63" s="31"/>
    </row>
    <row r="64" spans="2:9" ht="26" x14ac:dyDescent="0.3">
      <c r="B64" s="32"/>
      <c r="C64" s="580" t="s">
        <v>342</v>
      </c>
      <c r="D64" s="581" t="s">
        <v>371</v>
      </c>
      <c r="E64" s="582">
        <v>15421.75</v>
      </c>
      <c r="F64" s="583">
        <v>42705</v>
      </c>
      <c r="G64" s="584">
        <f t="shared" si="1"/>
        <v>15421.75</v>
      </c>
      <c r="H64" s="585"/>
      <c r="I64" s="31"/>
    </row>
    <row r="65" spans="2:9" ht="26" x14ac:dyDescent="0.3">
      <c r="B65" s="32"/>
      <c r="C65" s="580" t="s">
        <v>342</v>
      </c>
      <c r="D65" s="581" t="s">
        <v>375</v>
      </c>
      <c r="E65" s="582">
        <v>57600.959999999999</v>
      </c>
      <c r="F65" s="583">
        <v>42705</v>
      </c>
      <c r="G65" s="584">
        <f t="shared" si="1"/>
        <v>57600.959999999999</v>
      </c>
      <c r="H65" s="585"/>
      <c r="I65" s="31"/>
    </row>
    <row r="66" spans="2:9" ht="26" x14ac:dyDescent="0.3">
      <c r="B66" s="32"/>
      <c r="C66" s="580" t="s">
        <v>342</v>
      </c>
      <c r="D66" s="581" t="s">
        <v>376</v>
      </c>
      <c r="E66" s="582">
        <v>21516.7</v>
      </c>
      <c r="F66" s="583">
        <v>42705</v>
      </c>
      <c r="G66" s="584">
        <f t="shared" si="1"/>
        <v>21516.7</v>
      </c>
      <c r="H66" s="585"/>
      <c r="I66" s="31"/>
    </row>
    <row r="67" spans="2:9" x14ac:dyDescent="0.3">
      <c r="B67" s="32"/>
      <c r="C67" s="573"/>
      <c r="D67" s="586"/>
      <c r="E67" s="587"/>
      <c r="F67" s="588"/>
      <c r="G67" s="587"/>
      <c r="H67" s="567"/>
      <c r="I67" s="31"/>
    </row>
    <row r="68" spans="2:9" x14ac:dyDescent="0.3">
      <c r="B68" s="32"/>
      <c r="C68" s="568"/>
      <c r="D68" s="589"/>
      <c r="E68" s="590"/>
      <c r="F68" s="591"/>
      <c r="G68" s="592"/>
      <c r="H68" s="593"/>
      <c r="I68" s="31"/>
    </row>
    <row r="69" spans="2:9" x14ac:dyDescent="0.3">
      <c r="B69" s="32"/>
      <c r="C69" s="594"/>
      <c r="D69" s="589"/>
      <c r="E69" s="590"/>
      <c r="F69" s="591"/>
      <c r="G69" s="592"/>
      <c r="H69" s="593"/>
      <c r="I69" s="31"/>
    </row>
    <row r="70" spans="2:9" ht="14.5" thickBot="1" x14ac:dyDescent="0.35">
      <c r="B70" s="32"/>
      <c r="C70" s="568"/>
      <c r="D70" s="589"/>
      <c r="E70" s="590"/>
      <c r="F70" s="591"/>
      <c r="G70" s="590"/>
      <c r="H70" s="593"/>
      <c r="I70" s="31"/>
    </row>
    <row r="71" spans="2:9" x14ac:dyDescent="0.3">
      <c r="B71" s="32"/>
      <c r="C71" s="823" t="s">
        <v>385</v>
      </c>
      <c r="D71" s="823"/>
      <c r="E71" s="823"/>
      <c r="F71" s="823"/>
      <c r="G71" s="823"/>
      <c r="H71" s="823"/>
      <c r="I71" s="31"/>
    </row>
    <row r="72" spans="2:9" x14ac:dyDescent="0.3">
      <c r="B72" s="32"/>
      <c r="C72" s="824" t="s">
        <v>386</v>
      </c>
      <c r="D72" s="824"/>
      <c r="E72" s="824"/>
      <c r="F72" s="824"/>
      <c r="G72" s="824"/>
      <c r="H72" s="824"/>
      <c r="I72" s="31"/>
    </row>
    <row r="73" spans="2:9" x14ac:dyDescent="0.3">
      <c r="B73" s="32"/>
      <c r="C73" s="824" t="s">
        <v>387</v>
      </c>
      <c r="D73" s="824"/>
      <c r="E73" s="824"/>
      <c r="F73" s="824"/>
      <c r="G73" s="824"/>
      <c r="H73" s="824"/>
      <c r="I73" s="31"/>
    </row>
    <row r="74" spans="2:9" x14ac:dyDescent="0.3">
      <c r="B74" s="32"/>
      <c r="C74" s="178"/>
      <c r="D74" s="178" t="s">
        <v>388</v>
      </c>
      <c r="E74" s="178"/>
      <c r="F74" s="178"/>
      <c r="G74" s="178"/>
      <c r="H74" s="178"/>
      <c r="I74" s="31"/>
    </row>
    <row r="75" spans="2:9" x14ac:dyDescent="0.3">
      <c r="B75" s="32"/>
      <c r="C75" s="825" t="s">
        <v>389</v>
      </c>
      <c r="D75" s="825"/>
      <c r="E75" s="34"/>
      <c r="F75" s="34"/>
      <c r="G75" s="34"/>
      <c r="H75" s="34"/>
      <c r="I75" s="31"/>
    </row>
    <row r="76" spans="2:9" ht="14.5" thickBot="1" x14ac:dyDescent="0.35">
      <c r="B76" s="32"/>
      <c r="C76" s="826" t="s">
        <v>390</v>
      </c>
      <c r="D76" s="826"/>
      <c r="E76" s="826"/>
      <c r="F76" s="532"/>
      <c r="G76" s="532"/>
      <c r="H76" s="532"/>
      <c r="I76" s="31"/>
    </row>
    <row r="77" spans="2:9" ht="28.5" thickBot="1" x14ac:dyDescent="0.35">
      <c r="B77" s="32"/>
      <c r="C77" s="368" t="s">
        <v>391</v>
      </c>
      <c r="D77" s="369" t="s">
        <v>392</v>
      </c>
      <c r="E77" s="369" t="s">
        <v>393</v>
      </c>
      <c r="F77" s="369" t="s">
        <v>394</v>
      </c>
      <c r="G77" s="370" t="s">
        <v>395</v>
      </c>
      <c r="H77" s="138"/>
      <c r="I77" s="92"/>
    </row>
    <row r="78" spans="2:9" ht="224.5" thickBot="1" x14ac:dyDescent="0.35">
      <c r="B78" s="32"/>
      <c r="C78" s="371" t="s">
        <v>396</v>
      </c>
      <c r="D78" s="372" t="s">
        <v>397</v>
      </c>
      <c r="E78" s="373" t="s">
        <v>398</v>
      </c>
      <c r="F78" s="373" t="s">
        <v>399</v>
      </c>
      <c r="G78" s="374" t="s">
        <v>400</v>
      </c>
      <c r="H78" s="138"/>
      <c r="I78" s="92"/>
    </row>
    <row r="79" spans="2:9" ht="154.5" thickBot="1" x14ac:dyDescent="0.35">
      <c r="B79" s="32"/>
      <c r="C79" s="533" t="s">
        <v>401</v>
      </c>
      <c r="D79" s="365" t="s">
        <v>343</v>
      </c>
      <c r="E79" s="375">
        <v>51497.73</v>
      </c>
      <c r="F79" s="376">
        <v>51497.73</v>
      </c>
      <c r="G79" s="534" t="s">
        <v>402</v>
      </c>
      <c r="H79" s="34"/>
      <c r="I79" s="338"/>
    </row>
    <row r="80" spans="2:9" x14ac:dyDescent="0.3">
      <c r="B80" s="32"/>
      <c r="C80" s="849" t="s">
        <v>403</v>
      </c>
      <c r="D80" s="377" t="s">
        <v>345</v>
      </c>
      <c r="E80" s="378">
        <v>96440</v>
      </c>
      <c r="F80" s="851">
        <v>96440</v>
      </c>
      <c r="G80" s="853" t="s">
        <v>404</v>
      </c>
      <c r="H80" s="34"/>
      <c r="I80" s="338"/>
    </row>
    <row r="81" spans="2:9" ht="56.5" thickBot="1" x14ac:dyDescent="0.35">
      <c r="B81" s="32"/>
      <c r="C81" s="850"/>
      <c r="D81" s="379" t="s">
        <v>405</v>
      </c>
      <c r="E81" s="380">
        <v>98300</v>
      </c>
      <c r="F81" s="852"/>
      <c r="G81" s="854"/>
      <c r="H81" s="34"/>
      <c r="I81" s="338"/>
    </row>
    <row r="82" spans="2:9" ht="42" x14ac:dyDescent="0.3">
      <c r="B82" s="32"/>
      <c r="C82" s="849" t="s">
        <v>406</v>
      </c>
      <c r="D82" s="377" t="s">
        <v>407</v>
      </c>
      <c r="E82" s="378">
        <v>13820</v>
      </c>
      <c r="F82" s="851">
        <v>13820</v>
      </c>
      <c r="G82" s="853" t="s">
        <v>408</v>
      </c>
      <c r="H82" s="34"/>
      <c r="I82" s="338"/>
    </row>
    <row r="83" spans="2:9" ht="28" x14ac:dyDescent="0.3">
      <c r="B83" s="32"/>
      <c r="C83" s="855"/>
      <c r="D83" s="381" t="s">
        <v>409</v>
      </c>
      <c r="E83" s="382">
        <v>15399</v>
      </c>
      <c r="F83" s="835"/>
      <c r="G83" s="856"/>
      <c r="H83" s="34"/>
      <c r="I83" s="338"/>
    </row>
    <row r="84" spans="2:9" ht="42" x14ac:dyDescent="0.3">
      <c r="B84" s="32"/>
      <c r="C84" s="855"/>
      <c r="D84" s="381" t="s">
        <v>410</v>
      </c>
      <c r="E84" s="382">
        <v>14949</v>
      </c>
      <c r="F84" s="835"/>
      <c r="G84" s="856"/>
      <c r="H84" s="34"/>
      <c r="I84" s="338"/>
    </row>
    <row r="85" spans="2:9" ht="28" x14ac:dyDescent="0.3">
      <c r="B85" s="32"/>
      <c r="C85" s="855"/>
      <c r="D85" s="381" t="s">
        <v>411</v>
      </c>
      <c r="E85" s="382">
        <v>17000</v>
      </c>
      <c r="F85" s="835"/>
      <c r="G85" s="856"/>
      <c r="H85" s="34"/>
      <c r="I85" s="338"/>
    </row>
    <row r="86" spans="2:9" ht="42" x14ac:dyDescent="0.3">
      <c r="B86" s="32"/>
      <c r="C86" s="855"/>
      <c r="D86" s="381" t="s">
        <v>412</v>
      </c>
      <c r="E86" s="382" t="s">
        <v>413</v>
      </c>
      <c r="F86" s="835"/>
      <c r="G86" s="856"/>
      <c r="H86" s="34"/>
      <c r="I86" s="338"/>
    </row>
    <row r="87" spans="2:9" ht="42.5" thickBot="1" x14ac:dyDescent="0.35">
      <c r="B87" s="32"/>
      <c r="C87" s="850"/>
      <c r="D87" s="379" t="s">
        <v>414</v>
      </c>
      <c r="E87" s="383" t="s">
        <v>413</v>
      </c>
      <c r="F87" s="836"/>
      <c r="G87" s="854"/>
      <c r="H87" s="34"/>
      <c r="I87" s="338"/>
    </row>
    <row r="88" spans="2:9" ht="238.5" thickBot="1" x14ac:dyDescent="0.35">
      <c r="B88" s="32"/>
      <c r="C88" s="384" t="s">
        <v>415</v>
      </c>
      <c r="D88" s="385" t="s">
        <v>416</v>
      </c>
      <c r="E88" s="386">
        <v>47340</v>
      </c>
      <c r="F88" s="387">
        <v>42606.55</v>
      </c>
      <c r="G88" s="388" t="s">
        <v>417</v>
      </c>
      <c r="H88" s="34"/>
      <c r="I88" s="338"/>
    </row>
    <row r="89" spans="2:9" ht="28" x14ac:dyDescent="0.3">
      <c r="B89" s="32"/>
      <c r="C89" s="831" t="s">
        <v>418</v>
      </c>
      <c r="D89" s="377" t="s">
        <v>416</v>
      </c>
      <c r="E89" s="378">
        <v>51000</v>
      </c>
      <c r="F89" s="834">
        <v>51000</v>
      </c>
      <c r="G89" s="837" t="s">
        <v>419</v>
      </c>
      <c r="H89" s="34"/>
      <c r="I89" s="338"/>
    </row>
    <row r="90" spans="2:9" ht="42" x14ac:dyDescent="0.3">
      <c r="B90" s="32"/>
      <c r="C90" s="832"/>
      <c r="D90" s="381" t="s">
        <v>420</v>
      </c>
      <c r="E90" s="389" t="s">
        <v>413</v>
      </c>
      <c r="F90" s="835"/>
      <c r="G90" s="838"/>
      <c r="H90" s="34"/>
      <c r="I90" s="338"/>
    </row>
    <row r="91" spans="2:9" ht="42.5" thickBot="1" x14ac:dyDescent="0.35">
      <c r="B91" s="32"/>
      <c r="C91" s="833"/>
      <c r="D91" s="379" t="s">
        <v>410</v>
      </c>
      <c r="E91" s="383" t="s">
        <v>413</v>
      </c>
      <c r="F91" s="836"/>
      <c r="G91" s="839"/>
      <c r="H91" s="34"/>
      <c r="I91" s="338"/>
    </row>
    <row r="92" spans="2:9" ht="28.5" thickBot="1" x14ac:dyDescent="0.35">
      <c r="B92" s="32"/>
      <c r="C92" s="840" t="s">
        <v>421</v>
      </c>
      <c r="D92" s="390" t="s">
        <v>422</v>
      </c>
      <c r="E92" s="391">
        <v>2650</v>
      </c>
      <c r="F92" s="843">
        <v>2650</v>
      </c>
      <c r="G92" s="846" t="s">
        <v>423</v>
      </c>
      <c r="H92" s="34"/>
      <c r="I92" s="338"/>
    </row>
    <row r="93" spans="2:9" ht="28" x14ac:dyDescent="0.3">
      <c r="B93" s="32"/>
      <c r="C93" s="841"/>
      <c r="D93" s="392" t="s">
        <v>424</v>
      </c>
      <c r="E93" s="393">
        <v>3150</v>
      </c>
      <c r="F93" s="844"/>
      <c r="G93" s="847"/>
      <c r="H93" s="34"/>
      <c r="I93" s="338"/>
    </row>
    <row r="94" spans="2:9" ht="14.5" thickBot="1" x14ac:dyDescent="0.35">
      <c r="B94" s="32"/>
      <c r="C94" s="842"/>
      <c r="D94" s="394" t="s">
        <v>425</v>
      </c>
      <c r="E94" s="395">
        <v>3000</v>
      </c>
      <c r="F94" s="845"/>
      <c r="G94" s="848"/>
      <c r="H94" s="34"/>
      <c r="I94" s="338"/>
    </row>
    <row r="95" spans="2:9" ht="28" x14ac:dyDescent="0.3">
      <c r="B95" s="32"/>
      <c r="C95" s="831" t="s">
        <v>426</v>
      </c>
      <c r="D95" s="396" t="s">
        <v>427</v>
      </c>
      <c r="E95" s="391">
        <v>3000</v>
      </c>
      <c r="F95" s="864">
        <v>2820</v>
      </c>
      <c r="G95" s="867" t="s">
        <v>428</v>
      </c>
      <c r="H95" s="34"/>
      <c r="I95" s="338"/>
    </row>
    <row r="96" spans="2:9" ht="28" x14ac:dyDescent="0.3">
      <c r="B96" s="32"/>
      <c r="C96" s="832"/>
      <c r="D96" s="397" t="s">
        <v>429</v>
      </c>
      <c r="E96" s="393">
        <v>3400</v>
      </c>
      <c r="F96" s="865"/>
      <c r="G96" s="867"/>
      <c r="H96" s="34"/>
      <c r="I96" s="338"/>
    </row>
    <row r="97" spans="2:9" ht="28.5" thickBot="1" x14ac:dyDescent="0.35">
      <c r="B97" s="32"/>
      <c r="C97" s="833"/>
      <c r="D97" s="366" t="s">
        <v>430</v>
      </c>
      <c r="E97" s="395">
        <v>2820</v>
      </c>
      <c r="F97" s="866"/>
      <c r="G97" s="868"/>
      <c r="H97" s="34"/>
      <c r="I97" s="338"/>
    </row>
    <row r="98" spans="2:9" ht="28" x14ac:dyDescent="0.3">
      <c r="B98" s="32"/>
      <c r="C98" s="840" t="s">
        <v>431</v>
      </c>
      <c r="D98" s="543" t="s">
        <v>424</v>
      </c>
      <c r="E98" s="398">
        <v>7250</v>
      </c>
      <c r="F98" s="869">
        <v>7250</v>
      </c>
      <c r="G98" s="871" t="s">
        <v>428</v>
      </c>
      <c r="H98" s="34"/>
      <c r="I98" s="338"/>
    </row>
    <row r="99" spans="2:9" x14ac:dyDescent="0.3">
      <c r="B99" s="32"/>
      <c r="C99" s="841"/>
      <c r="D99" s="399" t="s">
        <v>432</v>
      </c>
      <c r="E99" s="400">
        <v>12600</v>
      </c>
      <c r="F99" s="870"/>
      <c r="G99" s="867"/>
      <c r="H99" s="34"/>
      <c r="I99" s="338"/>
    </row>
    <row r="100" spans="2:9" ht="42.5" thickBot="1" x14ac:dyDescent="0.35">
      <c r="B100" s="32"/>
      <c r="C100" s="842"/>
      <c r="D100" s="401" t="s">
        <v>433</v>
      </c>
      <c r="E100" s="402">
        <v>23010</v>
      </c>
      <c r="F100" s="870"/>
      <c r="G100" s="868"/>
      <c r="H100" s="34"/>
      <c r="I100" s="338"/>
    </row>
    <row r="101" spans="2:9" ht="84.5" thickBot="1" x14ac:dyDescent="0.35">
      <c r="B101" s="32"/>
      <c r="C101" s="403" t="s">
        <v>434</v>
      </c>
      <c r="D101" s="404" t="s">
        <v>435</v>
      </c>
      <c r="E101" s="535">
        <v>10918.2</v>
      </c>
      <c r="F101" s="405">
        <v>10918.2</v>
      </c>
      <c r="G101" s="406" t="s">
        <v>436</v>
      </c>
      <c r="H101" s="34"/>
      <c r="I101" s="338"/>
    </row>
    <row r="102" spans="2:9" ht="28" x14ac:dyDescent="0.3">
      <c r="B102" s="32"/>
      <c r="C102" s="857" t="s">
        <v>437</v>
      </c>
      <c r="D102" s="407" t="s">
        <v>438</v>
      </c>
      <c r="E102" s="408">
        <v>2768.5</v>
      </c>
      <c r="F102" s="860">
        <v>2768.5</v>
      </c>
      <c r="G102" s="857" t="s">
        <v>439</v>
      </c>
      <c r="H102" s="34"/>
      <c r="I102" s="338"/>
    </row>
    <row r="103" spans="2:9" x14ac:dyDescent="0.3">
      <c r="B103" s="32"/>
      <c r="C103" s="858"/>
      <c r="D103" s="409" t="s">
        <v>440</v>
      </c>
      <c r="E103" s="410">
        <v>3522</v>
      </c>
      <c r="F103" s="861"/>
      <c r="G103" s="858"/>
      <c r="H103" s="34"/>
      <c r="I103" s="338"/>
    </row>
    <row r="104" spans="2:9" ht="14.5" thickBot="1" x14ac:dyDescent="0.35">
      <c r="B104" s="32"/>
      <c r="C104" s="859"/>
      <c r="D104" s="411" t="s">
        <v>441</v>
      </c>
      <c r="E104" s="412">
        <v>3290.36</v>
      </c>
      <c r="F104" s="862"/>
      <c r="G104" s="859"/>
      <c r="H104" s="34"/>
      <c r="I104" s="338"/>
    </row>
    <row r="105" spans="2:9" ht="28" x14ac:dyDescent="0.3">
      <c r="B105" s="32"/>
      <c r="C105" s="857" t="s">
        <v>442</v>
      </c>
      <c r="D105" s="392" t="s">
        <v>443</v>
      </c>
      <c r="E105" s="413">
        <v>37000</v>
      </c>
      <c r="F105" s="860">
        <v>37000</v>
      </c>
      <c r="G105" s="863" t="s">
        <v>444</v>
      </c>
      <c r="H105" s="34"/>
      <c r="I105" s="338"/>
    </row>
    <row r="106" spans="2:9" ht="28.5" thickBot="1" x14ac:dyDescent="0.35">
      <c r="B106" s="32"/>
      <c r="C106" s="859"/>
      <c r="D106" s="414" t="s">
        <v>445</v>
      </c>
      <c r="E106" s="415">
        <v>37480</v>
      </c>
      <c r="F106" s="862"/>
      <c r="G106" s="863"/>
      <c r="H106" s="34"/>
      <c r="I106" s="338"/>
    </row>
    <row r="107" spans="2:9" ht="28" x14ac:dyDescent="0.3">
      <c r="B107" s="32"/>
      <c r="C107" s="885" t="s">
        <v>446</v>
      </c>
      <c r="D107" s="390" t="s">
        <v>447</v>
      </c>
      <c r="E107" s="416">
        <v>38300</v>
      </c>
      <c r="F107" s="888">
        <v>38300</v>
      </c>
      <c r="G107" s="891" t="s">
        <v>448</v>
      </c>
      <c r="H107" s="34"/>
      <c r="I107" s="338"/>
    </row>
    <row r="108" spans="2:9" ht="69.75" customHeight="1" x14ac:dyDescent="0.3">
      <c r="B108" s="32"/>
      <c r="C108" s="886"/>
      <c r="D108" s="417" t="s">
        <v>449</v>
      </c>
      <c r="E108" s="418">
        <v>39478.1</v>
      </c>
      <c r="F108" s="889"/>
      <c r="G108" s="863"/>
      <c r="H108" s="34"/>
      <c r="I108" s="338"/>
    </row>
    <row r="109" spans="2:9" ht="75" customHeight="1" x14ac:dyDescent="0.3">
      <c r="B109" s="32"/>
      <c r="C109" s="886"/>
      <c r="D109" s="417" t="s">
        <v>450</v>
      </c>
      <c r="E109" s="419">
        <v>41000</v>
      </c>
      <c r="F109" s="889"/>
      <c r="G109" s="863"/>
      <c r="H109" s="34"/>
      <c r="I109" s="338"/>
    </row>
    <row r="110" spans="2:9" ht="75.75" customHeight="1" x14ac:dyDescent="0.3">
      <c r="B110" s="32"/>
      <c r="C110" s="886"/>
      <c r="D110" s="417" t="s">
        <v>451</v>
      </c>
      <c r="E110" s="418">
        <v>47000</v>
      </c>
      <c r="F110" s="889"/>
      <c r="G110" s="863"/>
      <c r="H110" s="34"/>
      <c r="I110" s="338"/>
    </row>
    <row r="111" spans="2:9" ht="56.25" customHeight="1" thickBot="1" x14ac:dyDescent="0.35">
      <c r="B111" s="32"/>
      <c r="C111" s="887"/>
      <c r="D111" s="595" t="s">
        <v>452</v>
      </c>
      <c r="E111" s="420">
        <v>52216</v>
      </c>
      <c r="F111" s="890"/>
      <c r="G111" s="863"/>
      <c r="H111" s="34"/>
      <c r="I111" s="338"/>
    </row>
    <row r="112" spans="2:9" ht="56.25" customHeight="1" x14ac:dyDescent="0.3">
      <c r="B112" s="32"/>
      <c r="C112" s="872" t="s">
        <v>453</v>
      </c>
      <c r="D112" s="893" t="s">
        <v>454</v>
      </c>
      <c r="E112" s="896">
        <v>4400</v>
      </c>
      <c r="F112" s="864">
        <v>4400</v>
      </c>
      <c r="G112" s="872" t="s">
        <v>455</v>
      </c>
      <c r="H112" s="34"/>
      <c r="I112" s="338"/>
    </row>
    <row r="113" spans="2:12" ht="56.25" customHeight="1" x14ac:dyDescent="0.3">
      <c r="B113" s="32"/>
      <c r="C113" s="873"/>
      <c r="D113" s="894"/>
      <c r="E113" s="897"/>
      <c r="F113" s="865"/>
      <c r="G113" s="873"/>
      <c r="H113" s="34"/>
      <c r="I113" s="338"/>
    </row>
    <row r="114" spans="2:12" ht="56.25" customHeight="1" thickBot="1" x14ac:dyDescent="0.35">
      <c r="B114" s="32"/>
      <c r="C114" s="892"/>
      <c r="D114" s="895"/>
      <c r="E114" s="898"/>
      <c r="F114" s="866"/>
      <c r="G114" s="892"/>
      <c r="H114" s="34"/>
      <c r="I114" s="338"/>
    </row>
    <row r="115" spans="2:12" ht="112.5" thickBot="1" x14ac:dyDescent="0.35">
      <c r="B115" s="32"/>
      <c r="C115" s="421" t="s">
        <v>456</v>
      </c>
      <c r="D115" s="422" t="s">
        <v>457</v>
      </c>
      <c r="E115" s="423">
        <v>11784.5</v>
      </c>
      <c r="F115" s="423">
        <v>11191.74</v>
      </c>
      <c r="G115" s="424" t="s">
        <v>458</v>
      </c>
      <c r="H115" s="34"/>
      <c r="I115" s="338"/>
    </row>
    <row r="116" spans="2:12" ht="70.5" thickBot="1" x14ac:dyDescent="0.35">
      <c r="B116" s="32"/>
      <c r="C116" s="421" t="s">
        <v>459</v>
      </c>
      <c r="D116" s="422" t="s">
        <v>460</v>
      </c>
      <c r="E116" s="423">
        <v>16549.09</v>
      </c>
      <c r="F116" s="423">
        <v>16549.09</v>
      </c>
      <c r="G116" s="424" t="s">
        <v>461</v>
      </c>
      <c r="H116" s="34"/>
      <c r="I116" s="338"/>
    </row>
    <row r="117" spans="2:12" ht="44.25" customHeight="1" x14ac:dyDescent="0.3">
      <c r="B117" s="32"/>
      <c r="C117" s="872" t="s">
        <v>462</v>
      </c>
      <c r="D117" s="425" t="s">
        <v>463</v>
      </c>
      <c r="E117" s="426">
        <v>2557.1</v>
      </c>
      <c r="F117" s="864">
        <v>2557.1</v>
      </c>
      <c r="G117" s="874" t="s">
        <v>464</v>
      </c>
      <c r="H117" s="34"/>
      <c r="I117" s="338"/>
    </row>
    <row r="118" spans="2:12" ht="43.5" customHeight="1" x14ac:dyDescent="0.3">
      <c r="B118" s="32"/>
      <c r="C118" s="873"/>
      <c r="D118" s="427" t="s">
        <v>465</v>
      </c>
      <c r="E118" s="596">
        <v>2863.72</v>
      </c>
      <c r="F118" s="865"/>
      <c r="G118" s="875"/>
      <c r="H118" s="34"/>
      <c r="I118" s="338"/>
    </row>
    <row r="119" spans="2:12" ht="37.5" customHeight="1" thickBot="1" x14ac:dyDescent="0.35">
      <c r="B119" s="32"/>
      <c r="C119" s="873"/>
      <c r="D119" s="428" t="s">
        <v>466</v>
      </c>
      <c r="E119" s="429">
        <v>3638.99</v>
      </c>
      <c r="F119" s="865"/>
      <c r="G119" s="875"/>
      <c r="H119" s="34"/>
      <c r="I119" s="338"/>
    </row>
    <row r="120" spans="2:12" ht="75.75" customHeight="1" x14ac:dyDescent="0.3">
      <c r="B120" s="32"/>
      <c r="C120" s="876" t="s">
        <v>467</v>
      </c>
      <c r="D120" s="516" t="s">
        <v>468</v>
      </c>
      <c r="E120" s="430">
        <v>3000</v>
      </c>
      <c r="F120" s="879">
        <v>3000</v>
      </c>
      <c r="G120" s="882" t="s">
        <v>469</v>
      </c>
      <c r="H120" s="34"/>
      <c r="I120" s="338"/>
    </row>
    <row r="121" spans="2:12" ht="75.75" customHeight="1" x14ac:dyDescent="0.3">
      <c r="B121" s="32"/>
      <c r="C121" s="877"/>
      <c r="D121" s="517" t="s">
        <v>470</v>
      </c>
      <c r="E121" s="431">
        <v>6000</v>
      </c>
      <c r="F121" s="880"/>
      <c r="G121" s="883"/>
      <c r="H121" s="34"/>
      <c r="I121" s="338"/>
    </row>
    <row r="122" spans="2:12" ht="48" customHeight="1" thickBot="1" x14ac:dyDescent="0.35">
      <c r="B122" s="32"/>
      <c r="C122" s="878"/>
      <c r="D122" s="518" t="s">
        <v>471</v>
      </c>
      <c r="E122" s="432">
        <v>5000</v>
      </c>
      <c r="F122" s="881"/>
      <c r="G122" s="884"/>
      <c r="H122" s="34"/>
      <c r="I122" s="338"/>
    </row>
    <row r="123" spans="2:12" ht="115.5" customHeight="1" thickBot="1" x14ac:dyDescent="0.35">
      <c r="B123" s="32"/>
      <c r="C123" s="433" t="s">
        <v>472</v>
      </c>
      <c r="D123" s="434" t="s">
        <v>473</v>
      </c>
      <c r="E123" s="435">
        <v>335389.59999999998</v>
      </c>
      <c r="F123" s="435">
        <v>335389.59999999998</v>
      </c>
      <c r="G123" s="436" t="s">
        <v>474</v>
      </c>
      <c r="H123" s="34"/>
      <c r="I123" s="338"/>
      <c r="L123" s="437"/>
    </row>
    <row r="124" spans="2:12" x14ac:dyDescent="0.3">
      <c r="B124" s="32"/>
      <c r="C124" s="899" t="s">
        <v>475</v>
      </c>
      <c r="D124" s="438" t="s">
        <v>476</v>
      </c>
      <c r="E124" s="439">
        <v>57770.78</v>
      </c>
      <c r="F124" s="908">
        <f>+E125</f>
        <v>51837.54</v>
      </c>
      <c r="G124" s="902" t="s">
        <v>477</v>
      </c>
      <c r="H124" s="34"/>
      <c r="I124" s="338"/>
    </row>
    <row r="125" spans="2:12" ht="26" x14ac:dyDescent="0.3">
      <c r="B125" s="32"/>
      <c r="C125" s="900"/>
      <c r="D125" s="597" t="s">
        <v>478</v>
      </c>
      <c r="E125" s="440">
        <v>51837.54</v>
      </c>
      <c r="F125" s="906"/>
      <c r="G125" s="903"/>
      <c r="H125" s="34"/>
      <c r="I125" s="338"/>
    </row>
    <row r="126" spans="2:12" ht="14.5" thickBot="1" x14ac:dyDescent="0.35">
      <c r="B126" s="32"/>
      <c r="C126" s="901"/>
      <c r="D126" s="441" t="s">
        <v>479</v>
      </c>
      <c r="E126" s="442">
        <v>60077.79</v>
      </c>
      <c r="F126" s="907"/>
      <c r="G126" s="904"/>
      <c r="H126" s="34"/>
      <c r="I126" s="338"/>
    </row>
    <row r="127" spans="2:12" x14ac:dyDescent="0.3">
      <c r="B127" s="32"/>
      <c r="C127" s="899" t="s">
        <v>475</v>
      </c>
      <c r="D127" s="438" t="s">
        <v>480</v>
      </c>
      <c r="E127" s="439">
        <f>22875.63+10421.24+21527.63+8399.23+7998.85+41931.93</f>
        <v>113154.51000000001</v>
      </c>
      <c r="F127" s="439">
        <f>+G34</f>
        <v>78285.94</v>
      </c>
      <c r="G127" s="902" t="s">
        <v>481</v>
      </c>
      <c r="H127" s="34"/>
      <c r="I127" s="338"/>
    </row>
    <row r="128" spans="2:12" x14ac:dyDescent="0.3">
      <c r="B128" s="32"/>
      <c r="C128" s="900"/>
      <c r="D128" s="598" t="s">
        <v>482</v>
      </c>
      <c r="E128" s="440">
        <f>10860.7+10796.49+24209.14+9027.78+9243.84+10606.09</f>
        <v>74744.039999999994</v>
      </c>
      <c r="F128" s="905"/>
      <c r="G128" s="903"/>
      <c r="H128" s="34"/>
      <c r="I128" s="338"/>
    </row>
    <row r="129" spans="2:9" x14ac:dyDescent="0.3">
      <c r="B129" s="32"/>
      <c r="C129" s="900"/>
      <c r="D129" s="598" t="s">
        <v>483</v>
      </c>
      <c r="E129" s="440">
        <f>10160+9938.2+7575.25+21187.5+9700+17847</f>
        <v>76407.95</v>
      </c>
      <c r="F129" s="909"/>
      <c r="G129" s="903"/>
      <c r="H129" s="34"/>
      <c r="I129" s="338"/>
    </row>
    <row r="130" spans="2:9" ht="26.5" thickBot="1" x14ac:dyDescent="0.35">
      <c r="B130" s="32"/>
      <c r="C130" s="901"/>
      <c r="D130" s="443" t="s">
        <v>484</v>
      </c>
      <c r="E130" s="442">
        <f>33720+8745+6632.5+20950+9200+35691.2</f>
        <v>114938.7</v>
      </c>
      <c r="F130" s="442">
        <f>+G31</f>
        <v>69411.199999999997</v>
      </c>
      <c r="G130" s="904"/>
      <c r="H130" s="34"/>
      <c r="I130" s="338"/>
    </row>
    <row r="131" spans="2:9" ht="26.5" thickBot="1" x14ac:dyDescent="0.35">
      <c r="B131" s="32"/>
      <c r="C131" s="444" t="s">
        <v>475</v>
      </c>
      <c r="D131" s="445" t="s">
        <v>485</v>
      </c>
      <c r="E131" s="446">
        <f>+G33</f>
        <v>118636.4</v>
      </c>
      <c r="F131" s="446">
        <f>+E131</f>
        <v>118636.4</v>
      </c>
      <c r="G131" s="536" t="s">
        <v>486</v>
      </c>
      <c r="H131" s="34"/>
      <c r="I131" s="338"/>
    </row>
    <row r="132" spans="2:9" x14ac:dyDescent="0.3">
      <c r="B132" s="32"/>
      <c r="C132" s="899" t="s">
        <v>475</v>
      </c>
      <c r="D132" s="447" t="s">
        <v>487</v>
      </c>
      <c r="E132" s="448">
        <v>22034.73</v>
      </c>
      <c r="F132" s="439">
        <f>+E132</f>
        <v>22034.73</v>
      </c>
      <c r="G132" s="902" t="s">
        <v>488</v>
      </c>
      <c r="H132" s="34"/>
      <c r="I132" s="338"/>
    </row>
    <row r="133" spans="2:9" x14ac:dyDescent="0.3">
      <c r="B133" s="32"/>
      <c r="C133" s="900"/>
      <c r="D133" s="598" t="s">
        <v>489</v>
      </c>
      <c r="E133" s="440">
        <f>16702.88+5818.1</f>
        <v>22520.980000000003</v>
      </c>
      <c r="F133" s="905"/>
      <c r="G133" s="903"/>
      <c r="H133" s="34"/>
      <c r="I133" s="338"/>
    </row>
    <row r="134" spans="2:9" x14ac:dyDescent="0.3">
      <c r="B134" s="32"/>
      <c r="C134" s="900"/>
      <c r="D134" s="598" t="s">
        <v>490</v>
      </c>
      <c r="E134" s="440">
        <f>17332.26+5209.7</f>
        <v>22541.96</v>
      </c>
      <c r="F134" s="906"/>
      <c r="G134" s="903"/>
      <c r="H134" s="34"/>
      <c r="I134" s="338"/>
    </row>
    <row r="135" spans="2:9" ht="26.5" thickBot="1" x14ac:dyDescent="0.35">
      <c r="B135" s="32"/>
      <c r="C135" s="901"/>
      <c r="D135" s="449" t="s">
        <v>491</v>
      </c>
      <c r="E135" s="442">
        <f>15090.55+3754.9</f>
        <v>18845.45</v>
      </c>
      <c r="F135" s="907"/>
      <c r="G135" s="904"/>
      <c r="H135" s="34"/>
      <c r="I135" s="338"/>
    </row>
    <row r="136" spans="2:9" ht="14.5" thickBot="1" x14ac:dyDescent="0.35">
      <c r="B136" s="32"/>
      <c r="C136" s="777"/>
      <c r="D136" s="598" t="s">
        <v>492</v>
      </c>
      <c r="E136" s="440">
        <v>2431</v>
      </c>
      <c r="F136" s="440"/>
      <c r="G136" s="778"/>
      <c r="H136" s="34"/>
      <c r="I136" s="338"/>
    </row>
    <row r="137" spans="2:9" x14ac:dyDescent="0.3">
      <c r="B137" s="32"/>
      <c r="C137" s="899" t="s">
        <v>475</v>
      </c>
      <c r="D137" s="438" t="s">
        <v>492</v>
      </c>
      <c r="E137" s="439">
        <f>5715+9429+5400+3650</f>
        <v>24194</v>
      </c>
      <c r="F137" s="439">
        <f>+E137</f>
        <v>24194</v>
      </c>
      <c r="G137" s="902" t="s">
        <v>477</v>
      </c>
      <c r="H137" s="34"/>
      <c r="I137" s="338"/>
    </row>
    <row r="138" spans="2:9" ht="14.5" thickBot="1" x14ac:dyDescent="0.35">
      <c r="B138" s="32"/>
      <c r="C138" s="901"/>
      <c r="D138" s="450" t="s">
        <v>485</v>
      </c>
      <c r="E138" s="442">
        <f>5842+12954+5450+5325</f>
        <v>29571</v>
      </c>
      <c r="F138" s="442"/>
      <c r="G138" s="904"/>
      <c r="H138" s="34"/>
      <c r="I138" s="338"/>
    </row>
    <row r="139" spans="2:9" x14ac:dyDescent="0.3">
      <c r="B139" s="32"/>
      <c r="C139" s="899" t="s">
        <v>475</v>
      </c>
      <c r="D139" s="438" t="s">
        <v>493</v>
      </c>
      <c r="E139" s="439">
        <v>60370.04</v>
      </c>
      <c r="F139" s="439">
        <f>+E139</f>
        <v>60370.04</v>
      </c>
      <c r="G139" s="902" t="s">
        <v>477</v>
      </c>
      <c r="H139" s="34"/>
      <c r="I139" s="338"/>
    </row>
    <row r="140" spans="2:9" x14ac:dyDescent="0.3">
      <c r="B140" s="32"/>
      <c r="C140" s="900"/>
      <c r="D140" s="598" t="s">
        <v>492</v>
      </c>
      <c r="E140" s="440">
        <f>37107.46+6960+7200+52754.91</f>
        <v>104022.37</v>
      </c>
      <c r="F140" s="451"/>
      <c r="G140" s="903"/>
      <c r="H140" s="34"/>
      <c r="I140" s="338"/>
    </row>
    <row r="141" spans="2:9" x14ac:dyDescent="0.3">
      <c r="B141" s="32"/>
      <c r="C141" s="900"/>
      <c r="D141" s="452" t="s">
        <v>487</v>
      </c>
      <c r="E141" s="440">
        <f>17539.06+7710.08+6686.4+43177.34</f>
        <v>75112.88</v>
      </c>
      <c r="F141" s="453"/>
      <c r="G141" s="903"/>
      <c r="H141" s="34"/>
      <c r="I141" s="338"/>
    </row>
    <row r="142" spans="2:9" ht="26.5" thickBot="1" x14ac:dyDescent="0.35">
      <c r="B142" s="32"/>
      <c r="C142" s="901"/>
      <c r="D142" s="441" t="s">
        <v>494</v>
      </c>
      <c r="E142" s="442">
        <f>12500.46+8647.52+7203.5+35898.89</f>
        <v>64250.369999999995</v>
      </c>
      <c r="F142" s="454"/>
      <c r="G142" s="904"/>
      <c r="H142" s="34"/>
      <c r="I142" s="338"/>
    </row>
    <row r="143" spans="2:9" x14ac:dyDescent="0.3">
      <c r="B143" s="32"/>
      <c r="C143" s="913" t="s">
        <v>475</v>
      </c>
      <c r="D143" s="455" t="s">
        <v>485</v>
      </c>
      <c r="E143" s="456">
        <f>5842+12954+5450+5325</f>
        <v>29571</v>
      </c>
      <c r="F143" s="916">
        <f>+E145</f>
        <v>59695.28</v>
      </c>
      <c r="G143" s="902" t="s">
        <v>495</v>
      </c>
      <c r="H143" s="34"/>
      <c r="I143" s="338"/>
    </row>
    <row r="144" spans="2:9" x14ac:dyDescent="0.3">
      <c r="B144" s="32"/>
      <c r="C144" s="914"/>
      <c r="D144" s="599" t="s">
        <v>480</v>
      </c>
      <c r="E144" s="457">
        <f>20358.87+1246.48+3099.36+8259.38</f>
        <v>32964.089999999997</v>
      </c>
      <c r="F144" s="917"/>
      <c r="G144" s="903"/>
      <c r="H144" s="34"/>
      <c r="I144" s="338"/>
    </row>
    <row r="145" spans="2:9" ht="14.5" thickBot="1" x14ac:dyDescent="0.35">
      <c r="B145" s="32"/>
      <c r="C145" s="915"/>
      <c r="D145" s="458" t="s">
        <v>492</v>
      </c>
      <c r="E145" s="459">
        <v>59695.28</v>
      </c>
      <c r="F145" s="918"/>
      <c r="G145" s="904"/>
      <c r="H145" s="34"/>
      <c r="I145" s="338"/>
    </row>
    <row r="146" spans="2:9" ht="26.5" thickBot="1" x14ac:dyDescent="0.35">
      <c r="B146" s="32"/>
      <c r="C146" s="444" t="s">
        <v>475</v>
      </c>
      <c r="D146" s="460" t="s">
        <v>496</v>
      </c>
      <c r="E146" s="446">
        <v>40468.589999999997</v>
      </c>
      <c r="F146" s="446">
        <f>+E146</f>
        <v>40468.589999999997</v>
      </c>
      <c r="G146" s="536" t="s">
        <v>497</v>
      </c>
      <c r="H146" s="34"/>
      <c r="I146" s="338"/>
    </row>
    <row r="147" spans="2:9" x14ac:dyDescent="0.3">
      <c r="B147" s="32"/>
      <c r="C147" s="899" t="s">
        <v>475</v>
      </c>
      <c r="D147" s="438" t="s">
        <v>492</v>
      </c>
      <c r="E147" s="439">
        <v>10621.2</v>
      </c>
      <c r="F147" s="439">
        <f>+E147</f>
        <v>10621.2</v>
      </c>
      <c r="G147" s="902" t="s">
        <v>477</v>
      </c>
      <c r="H147" s="34"/>
      <c r="I147" s="338"/>
    </row>
    <row r="148" spans="2:9" ht="14.5" thickBot="1" x14ac:dyDescent="0.35">
      <c r="B148" s="32"/>
      <c r="C148" s="901"/>
      <c r="D148" s="461" t="s">
        <v>485</v>
      </c>
      <c r="E148" s="442">
        <v>10896.8</v>
      </c>
      <c r="F148" s="442"/>
      <c r="G148" s="904"/>
      <c r="H148" s="34"/>
      <c r="I148" s="338"/>
    </row>
    <row r="149" spans="2:9" x14ac:dyDescent="0.3">
      <c r="B149" s="32"/>
      <c r="C149" s="899" t="s">
        <v>475</v>
      </c>
      <c r="D149" s="447" t="s">
        <v>480</v>
      </c>
      <c r="E149" s="462">
        <v>12690.1</v>
      </c>
      <c r="F149" s="462"/>
      <c r="G149" s="910" t="s">
        <v>499</v>
      </c>
      <c r="H149" s="34"/>
      <c r="I149" s="338"/>
    </row>
    <row r="150" spans="2:9" x14ac:dyDescent="0.3">
      <c r="B150" s="32"/>
      <c r="C150" s="900"/>
      <c r="D150" s="452" t="s">
        <v>492</v>
      </c>
      <c r="E150" s="463">
        <v>39824.980000000003</v>
      </c>
      <c r="F150" s="463"/>
      <c r="G150" s="911"/>
      <c r="H150" s="34"/>
      <c r="I150" s="338"/>
    </row>
    <row r="151" spans="2:9" x14ac:dyDescent="0.3">
      <c r="B151" s="32"/>
      <c r="C151" s="900"/>
      <c r="D151" s="452" t="s">
        <v>498</v>
      </c>
      <c r="E151" s="463">
        <v>21900.48</v>
      </c>
      <c r="F151" s="463"/>
      <c r="G151" s="911"/>
      <c r="H151" s="34"/>
      <c r="I151" s="338"/>
    </row>
    <row r="152" spans="2:9" ht="26.5" thickBot="1" x14ac:dyDescent="0.35">
      <c r="B152" s="32"/>
      <c r="C152" s="901"/>
      <c r="D152" s="443" t="s">
        <v>484</v>
      </c>
      <c r="E152" s="464">
        <v>18421.599999999999</v>
      </c>
      <c r="F152" s="464">
        <f>+E152</f>
        <v>18421.599999999999</v>
      </c>
      <c r="G152" s="912"/>
      <c r="H152" s="34"/>
      <c r="I152" s="338"/>
    </row>
    <row r="153" spans="2:9" s="469" customFormat="1" ht="13" x14ac:dyDescent="0.3">
      <c r="B153" s="465"/>
      <c r="C153" s="899" t="s">
        <v>475</v>
      </c>
      <c r="D153" s="466" t="s">
        <v>498</v>
      </c>
      <c r="E153" s="446">
        <v>15564</v>
      </c>
      <c r="F153" s="906">
        <f>+E154</f>
        <v>17590.2</v>
      </c>
      <c r="G153" s="903" t="s">
        <v>477</v>
      </c>
      <c r="H153" s="467"/>
      <c r="I153" s="468"/>
    </row>
    <row r="154" spans="2:9" s="469" customFormat="1" ht="13.5" thickBot="1" x14ac:dyDescent="0.35">
      <c r="B154" s="465"/>
      <c r="C154" s="901"/>
      <c r="D154" s="600" t="s">
        <v>500</v>
      </c>
      <c r="E154" s="440">
        <v>17590.2</v>
      </c>
      <c r="F154" s="906"/>
      <c r="G154" s="903"/>
      <c r="H154" s="467"/>
      <c r="I154" s="468"/>
    </row>
    <row r="155" spans="2:9" s="469" customFormat="1" ht="13" x14ac:dyDescent="0.3">
      <c r="B155" s="465"/>
      <c r="C155" s="899" t="s">
        <v>475</v>
      </c>
      <c r="D155" s="470" t="s">
        <v>480</v>
      </c>
      <c r="E155" s="439">
        <f>12044+787.18</f>
        <v>12831.18</v>
      </c>
      <c r="F155" s="439">
        <v>12044</v>
      </c>
      <c r="G155" s="902" t="s">
        <v>501</v>
      </c>
      <c r="H155" s="467"/>
      <c r="I155" s="468"/>
    </row>
    <row r="156" spans="2:9" s="469" customFormat="1" ht="13" x14ac:dyDescent="0.3">
      <c r="B156" s="465"/>
      <c r="C156" s="900"/>
      <c r="D156" s="600" t="s">
        <v>492</v>
      </c>
      <c r="E156" s="440">
        <f>79236.25+6076.31+67217.5</f>
        <v>152530.06</v>
      </c>
      <c r="F156" s="440">
        <v>6076.31</v>
      </c>
      <c r="G156" s="903"/>
      <c r="H156" s="467"/>
      <c r="I156" s="468"/>
    </row>
    <row r="157" spans="2:9" s="469" customFormat="1" ht="26" x14ac:dyDescent="0.3">
      <c r="B157" s="465"/>
      <c r="C157" s="900"/>
      <c r="D157" s="452" t="s">
        <v>484</v>
      </c>
      <c r="E157" s="440">
        <f>28838.5+4544.31+5244</f>
        <v>38626.81</v>
      </c>
      <c r="F157" s="440">
        <v>11217.96</v>
      </c>
      <c r="G157" s="903"/>
      <c r="H157" s="467"/>
      <c r="I157" s="468"/>
    </row>
    <row r="158" spans="2:9" s="469" customFormat="1" ht="13" x14ac:dyDescent="0.3">
      <c r="B158" s="465"/>
      <c r="C158" s="900"/>
      <c r="D158" s="471" t="s">
        <v>485</v>
      </c>
      <c r="E158" s="440">
        <f>16863.2+13100</f>
        <v>29963.200000000001</v>
      </c>
      <c r="F158" s="440"/>
      <c r="G158" s="903"/>
      <c r="H158" s="467"/>
      <c r="I158" s="468"/>
    </row>
    <row r="159" spans="2:9" s="469" customFormat="1" ht="13" x14ac:dyDescent="0.3">
      <c r="B159" s="465"/>
      <c r="C159" s="900"/>
      <c r="D159" s="600" t="s">
        <v>496</v>
      </c>
      <c r="E159" s="440">
        <f>16707.65+22250.92+11973.8</f>
        <v>50932.369999999995</v>
      </c>
      <c r="F159" s="440">
        <v>11973.8</v>
      </c>
      <c r="G159" s="903"/>
      <c r="H159" s="467"/>
      <c r="I159" s="468"/>
    </row>
    <row r="160" spans="2:9" s="469" customFormat="1" ht="13" x14ac:dyDescent="0.3">
      <c r="B160" s="465"/>
      <c r="C160" s="900"/>
      <c r="D160" s="600" t="s">
        <v>500</v>
      </c>
      <c r="E160" s="440">
        <f>16394+7647.5+6670</f>
        <v>30711.5</v>
      </c>
      <c r="F160" s="440">
        <v>16394</v>
      </c>
      <c r="G160" s="903"/>
      <c r="H160" s="467"/>
      <c r="I160" s="468"/>
    </row>
    <row r="161" spans="2:9" s="469" customFormat="1" ht="13.5" thickBot="1" x14ac:dyDescent="0.35">
      <c r="B161" s="465"/>
      <c r="C161" s="901"/>
      <c r="D161" s="443" t="s">
        <v>498</v>
      </c>
      <c r="E161" s="442">
        <f>16494.5+5203.75+6325+13570</f>
        <v>41593.25</v>
      </c>
      <c r="F161" s="442"/>
      <c r="G161" s="904"/>
      <c r="H161" s="467"/>
      <c r="I161" s="468"/>
    </row>
    <row r="162" spans="2:9" s="469" customFormat="1" ht="13" x14ac:dyDescent="0.3">
      <c r="B162" s="465"/>
      <c r="C162" s="899" t="s">
        <v>475</v>
      </c>
      <c r="D162" s="466" t="s">
        <v>502</v>
      </c>
      <c r="E162" s="446">
        <v>119391.46</v>
      </c>
      <c r="F162" s="906">
        <f>+E163</f>
        <v>109449.85</v>
      </c>
      <c r="G162" s="903" t="s">
        <v>477</v>
      </c>
      <c r="H162" s="467"/>
      <c r="I162" s="468"/>
    </row>
    <row r="163" spans="2:9" s="469" customFormat="1" ht="13" x14ac:dyDescent="0.3">
      <c r="B163" s="465"/>
      <c r="C163" s="900"/>
      <c r="D163" s="600" t="s">
        <v>493</v>
      </c>
      <c r="E163" s="440">
        <v>109449.85</v>
      </c>
      <c r="F163" s="906"/>
      <c r="G163" s="903"/>
      <c r="H163" s="467"/>
      <c r="I163" s="468"/>
    </row>
    <row r="164" spans="2:9" s="469" customFormat="1" ht="13" x14ac:dyDescent="0.3">
      <c r="B164" s="465"/>
      <c r="C164" s="900"/>
      <c r="D164" s="600" t="s">
        <v>503</v>
      </c>
      <c r="E164" s="440">
        <v>120369.94</v>
      </c>
      <c r="F164" s="906"/>
      <c r="G164" s="903"/>
      <c r="H164" s="467"/>
      <c r="I164" s="468"/>
    </row>
    <row r="165" spans="2:9" s="469" customFormat="1" ht="13.5" thickBot="1" x14ac:dyDescent="0.35">
      <c r="B165" s="465"/>
      <c r="C165" s="901"/>
      <c r="D165" s="600" t="s">
        <v>504</v>
      </c>
      <c r="E165" s="440">
        <v>120922.95</v>
      </c>
      <c r="F165" s="906"/>
      <c r="G165" s="903"/>
      <c r="H165" s="467"/>
      <c r="I165" s="468"/>
    </row>
    <row r="166" spans="2:9" s="469" customFormat="1" ht="13" x14ac:dyDescent="0.3">
      <c r="B166" s="465"/>
      <c r="C166" s="899" t="s">
        <v>475</v>
      </c>
      <c r="D166" s="472" t="s">
        <v>482</v>
      </c>
      <c r="E166" s="473">
        <v>7448</v>
      </c>
      <c r="F166" s="908"/>
      <c r="G166" s="919" t="s">
        <v>505</v>
      </c>
      <c r="H166" s="467"/>
      <c r="I166" s="468"/>
    </row>
    <row r="167" spans="2:9" s="469" customFormat="1" ht="13" x14ac:dyDescent="0.3">
      <c r="B167" s="465"/>
      <c r="C167" s="900"/>
      <c r="D167" s="474" t="s">
        <v>498</v>
      </c>
      <c r="E167" s="475">
        <v>29567</v>
      </c>
      <c r="F167" s="909"/>
      <c r="G167" s="920"/>
      <c r="H167" s="467"/>
      <c r="I167" s="468"/>
    </row>
    <row r="168" spans="2:9" s="469" customFormat="1" ht="13" x14ac:dyDescent="0.3">
      <c r="B168" s="465"/>
      <c r="C168" s="900"/>
      <c r="D168" s="474" t="s">
        <v>506</v>
      </c>
      <c r="E168" s="475">
        <v>29020</v>
      </c>
      <c r="F168" s="440">
        <v>8150</v>
      </c>
      <c r="G168" s="920"/>
      <c r="H168" s="467"/>
      <c r="I168" s="468"/>
    </row>
    <row r="169" spans="2:9" s="469" customFormat="1" ht="13" x14ac:dyDescent="0.3">
      <c r="B169" s="465"/>
      <c r="C169" s="900"/>
      <c r="D169" s="474" t="s">
        <v>492</v>
      </c>
      <c r="E169" s="475">
        <v>28610</v>
      </c>
      <c r="F169" s="440">
        <v>3820</v>
      </c>
      <c r="G169" s="920"/>
      <c r="H169" s="467"/>
      <c r="I169" s="468"/>
    </row>
    <row r="170" spans="2:9" s="469" customFormat="1" ht="13.5" thickBot="1" x14ac:dyDescent="0.35">
      <c r="B170" s="465"/>
      <c r="C170" s="901"/>
      <c r="D170" s="476" t="s">
        <v>507</v>
      </c>
      <c r="E170" s="442">
        <v>22990</v>
      </c>
      <c r="F170" s="442">
        <v>10840</v>
      </c>
      <c r="G170" s="921"/>
      <c r="H170" s="467"/>
      <c r="I170" s="468"/>
    </row>
    <row r="171" spans="2:9" s="469" customFormat="1" ht="13" x14ac:dyDescent="0.3">
      <c r="B171" s="465"/>
      <c r="C171" s="899" t="s">
        <v>475</v>
      </c>
      <c r="D171" s="466" t="s">
        <v>508</v>
      </c>
      <c r="E171" s="446">
        <v>41518.449999999997</v>
      </c>
      <c r="F171" s="906">
        <f>+E171</f>
        <v>41518.449999999997</v>
      </c>
      <c r="G171" s="903" t="s">
        <v>509</v>
      </c>
      <c r="H171" s="467"/>
      <c r="I171" s="468"/>
    </row>
    <row r="172" spans="2:9" s="469" customFormat="1" ht="13.5" thickBot="1" x14ac:dyDescent="0.35">
      <c r="B172" s="465"/>
      <c r="C172" s="901"/>
      <c r="D172" s="600" t="s">
        <v>510</v>
      </c>
      <c r="E172" s="440">
        <v>21734.31</v>
      </c>
      <c r="F172" s="906"/>
      <c r="G172" s="903"/>
      <c r="H172" s="467"/>
      <c r="I172" s="468"/>
    </row>
    <row r="173" spans="2:9" s="469" customFormat="1" ht="39" x14ac:dyDescent="0.3">
      <c r="B173" s="465"/>
      <c r="C173" s="899" t="s">
        <v>475</v>
      </c>
      <c r="D173" s="477" t="s">
        <v>511</v>
      </c>
      <c r="E173" s="439">
        <v>40971.599999999999</v>
      </c>
      <c r="F173" s="916">
        <f>+E175</f>
        <v>4668.3</v>
      </c>
      <c r="G173" s="902" t="s">
        <v>512</v>
      </c>
      <c r="H173" s="467"/>
      <c r="I173" s="468"/>
    </row>
    <row r="174" spans="2:9" s="469" customFormat="1" ht="13" x14ac:dyDescent="0.3">
      <c r="B174" s="465"/>
      <c r="C174" s="900"/>
      <c r="D174" s="600" t="s">
        <v>513</v>
      </c>
      <c r="E174" s="440">
        <v>17700</v>
      </c>
      <c r="F174" s="917"/>
      <c r="G174" s="903"/>
      <c r="H174" s="467"/>
      <c r="I174" s="468"/>
    </row>
    <row r="175" spans="2:9" s="469" customFormat="1" ht="13" x14ac:dyDescent="0.3">
      <c r="B175" s="465"/>
      <c r="C175" s="900"/>
      <c r="D175" s="601" t="s">
        <v>514</v>
      </c>
      <c r="E175" s="457">
        <v>4668.3</v>
      </c>
      <c r="F175" s="917"/>
      <c r="G175" s="903"/>
      <c r="H175" s="467"/>
      <c r="I175" s="468"/>
    </row>
    <row r="176" spans="2:9" s="469" customFormat="1" ht="13" x14ac:dyDescent="0.3">
      <c r="B176" s="465"/>
      <c r="C176" s="900"/>
      <c r="D176" s="601" t="s">
        <v>515</v>
      </c>
      <c r="E176" s="457">
        <v>18049.62</v>
      </c>
      <c r="F176" s="917"/>
      <c r="G176" s="903"/>
      <c r="H176" s="467"/>
      <c r="I176" s="468"/>
    </row>
    <row r="177" spans="2:9" s="469" customFormat="1" ht="13" x14ac:dyDescent="0.3">
      <c r="B177" s="465"/>
      <c r="C177" s="900"/>
      <c r="D177" s="601" t="s">
        <v>516</v>
      </c>
      <c r="E177" s="457">
        <v>12301.45</v>
      </c>
      <c r="F177" s="917"/>
      <c r="G177" s="903"/>
      <c r="H177" s="467"/>
      <c r="I177" s="468"/>
    </row>
    <row r="178" spans="2:9" s="469" customFormat="1" ht="13.5" thickBot="1" x14ac:dyDescent="0.35">
      <c r="B178" s="465"/>
      <c r="C178" s="901"/>
      <c r="D178" s="478" t="s">
        <v>517</v>
      </c>
      <c r="E178" s="459">
        <v>13684.79</v>
      </c>
      <c r="F178" s="918"/>
      <c r="G178" s="904"/>
      <c r="H178" s="467"/>
      <c r="I178" s="468"/>
    </row>
    <row r="179" spans="2:9" s="469" customFormat="1" ht="13" x14ac:dyDescent="0.3">
      <c r="B179" s="465"/>
      <c r="C179" s="899" t="s">
        <v>475</v>
      </c>
      <c r="D179" s="602" t="s">
        <v>518</v>
      </c>
      <c r="E179" s="603">
        <v>63265.440000000002</v>
      </c>
      <c r="F179" s="538">
        <f>+E179</f>
        <v>63265.440000000002</v>
      </c>
      <c r="G179" s="903" t="s">
        <v>477</v>
      </c>
      <c r="H179" s="467"/>
      <c r="I179" s="468"/>
    </row>
    <row r="180" spans="2:9" s="469" customFormat="1" ht="13.5" thickBot="1" x14ac:dyDescent="0.35">
      <c r="B180" s="465"/>
      <c r="C180" s="901"/>
      <c r="D180" s="479" t="s">
        <v>513</v>
      </c>
      <c r="E180" s="480">
        <v>67260</v>
      </c>
      <c r="F180" s="538"/>
      <c r="G180" s="903"/>
      <c r="H180" s="467"/>
      <c r="I180" s="468"/>
    </row>
    <row r="181" spans="2:9" s="469" customFormat="1" ht="13" x14ac:dyDescent="0.3">
      <c r="B181" s="465"/>
      <c r="C181" s="899" t="s">
        <v>475</v>
      </c>
      <c r="D181" s="481" t="s">
        <v>493</v>
      </c>
      <c r="E181" s="456">
        <v>193219.01039999997</v>
      </c>
      <c r="F181" s="537"/>
      <c r="G181" s="902" t="s">
        <v>477</v>
      </c>
      <c r="H181" s="467"/>
      <c r="I181" s="468"/>
    </row>
    <row r="182" spans="2:9" s="469" customFormat="1" ht="13" x14ac:dyDescent="0.3">
      <c r="B182" s="465"/>
      <c r="C182" s="900"/>
      <c r="D182" s="482" t="s">
        <v>504</v>
      </c>
      <c r="E182" s="457">
        <v>200806.84356000001</v>
      </c>
      <c r="F182" s="538"/>
      <c r="G182" s="903"/>
      <c r="H182" s="467"/>
      <c r="I182" s="468"/>
    </row>
    <row r="183" spans="2:9" s="469" customFormat="1" ht="13" x14ac:dyDescent="0.3">
      <c r="B183" s="465"/>
      <c r="C183" s="900"/>
      <c r="D183" s="482" t="s">
        <v>519</v>
      </c>
      <c r="E183" s="457">
        <v>165169.63312837947</v>
      </c>
      <c r="F183" s="538">
        <f>+E183</f>
        <v>165169.63312837947</v>
      </c>
      <c r="G183" s="903"/>
      <c r="H183" s="467"/>
      <c r="I183" s="468"/>
    </row>
    <row r="184" spans="2:9" s="469" customFormat="1" ht="26" x14ac:dyDescent="0.3">
      <c r="B184" s="465"/>
      <c r="C184" s="900"/>
      <c r="D184" s="482" t="s">
        <v>494</v>
      </c>
      <c r="E184" s="457">
        <v>200610.54353999998</v>
      </c>
      <c r="F184" s="538"/>
      <c r="G184" s="903"/>
      <c r="H184" s="467"/>
      <c r="I184" s="468"/>
    </row>
    <row r="185" spans="2:9" s="469" customFormat="1" ht="13" x14ac:dyDescent="0.3">
      <c r="B185" s="465"/>
      <c r="C185" s="900"/>
      <c r="D185" s="482" t="s">
        <v>520</v>
      </c>
      <c r="E185" s="457">
        <v>200281.47</v>
      </c>
      <c r="F185" s="538"/>
      <c r="G185" s="903"/>
      <c r="H185" s="467"/>
      <c r="I185" s="468"/>
    </row>
    <row r="186" spans="2:9" s="469" customFormat="1" ht="13.5" thickBot="1" x14ac:dyDescent="0.35">
      <c r="B186" s="465"/>
      <c r="C186" s="901"/>
      <c r="D186" s="483" t="s">
        <v>508</v>
      </c>
      <c r="E186" s="459">
        <v>181974.47220000002</v>
      </c>
      <c r="F186" s="539"/>
      <c r="G186" s="904"/>
      <c r="H186" s="467"/>
      <c r="I186" s="468"/>
    </row>
    <row r="187" spans="2:9" s="469" customFormat="1" ht="65.5" thickBot="1" x14ac:dyDescent="0.35">
      <c r="B187" s="465"/>
      <c r="C187" s="444" t="s">
        <v>521</v>
      </c>
      <c r="D187" s="484" t="s">
        <v>522</v>
      </c>
      <c r="E187" s="485">
        <v>4560</v>
      </c>
      <c r="F187" s="485">
        <f>+E187</f>
        <v>4560</v>
      </c>
      <c r="G187" s="536" t="s">
        <v>523</v>
      </c>
      <c r="H187" s="467"/>
      <c r="I187" s="468"/>
    </row>
    <row r="188" spans="2:9" s="469" customFormat="1" ht="26.5" thickBot="1" x14ac:dyDescent="0.35">
      <c r="B188" s="465"/>
      <c r="C188" s="444" t="s">
        <v>475</v>
      </c>
      <c r="D188" s="486" t="s">
        <v>524</v>
      </c>
      <c r="E188" s="487">
        <v>62700</v>
      </c>
      <c r="F188" s="487">
        <f>+E188</f>
        <v>62700</v>
      </c>
      <c r="G188" s="488" t="s">
        <v>525</v>
      </c>
      <c r="H188" s="467"/>
      <c r="I188" s="468"/>
    </row>
    <row r="189" spans="2:9" s="469" customFormat="1" ht="13" x14ac:dyDescent="0.3">
      <c r="B189" s="465"/>
      <c r="C189" s="899" t="s">
        <v>475</v>
      </c>
      <c r="D189" s="489" t="s">
        <v>498</v>
      </c>
      <c r="E189" s="604">
        <v>17227</v>
      </c>
      <c r="F189" s="906">
        <f>+E189</f>
        <v>17227</v>
      </c>
      <c r="G189" s="903" t="s">
        <v>477</v>
      </c>
      <c r="H189" s="467"/>
      <c r="I189" s="468"/>
    </row>
    <row r="190" spans="2:9" s="469" customFormat="1" ht="13" x14ac:dyDescent="0.3">
      <c r="B190" s="465"/>
      <c r="C190" s="900"/>
      <c r="D190" s="474" t="s">
        <v>526</v>
      </c>
      <c r="E190" s="475">
        <v>12650</v>
      </c>
      <c r="F190" s="906"/>
      <c r="G190" s="903"/>
      <c r="H190" s="467"/>
      <c r="I190" s="468"/>
    </row>
    <row r="191" spans="2:9" s="469" customFormat="1" ht="13.5" thickBot="1" x14ac:dyDescent="0.35">
      <c r="B191" s="465"/>
      <c r="C191" s="901"/>
      <c r="D191" s="605" t="s">
        <v>527</v>
      </c>
      <c r="E191" s="440">
        <v>16560</v>
      </c>
      <c r="F191" s="906"/>
      <c r="G191" s="903"/>
      <c r="H191" s="467"/>
      <c r="I191" s="468"/>
    </row>
    <row r="192" spans="2:9" s="469" customFormat="1" ht="13" x14ac:dyDescent="0.3">
      <c r="B192" s="465"/>
      <c r="C192" s="899" t="s">
        <v>475</v>
      </c>
      <c r="D192" s="472" t="s">
        <v>482</v>
      </c>
      <c r="E192" s="473">
        <v>7764.8</v>
      </c>
      <c r="F192" s="490"/>
      <c r="G192" s="902" t="s">
        <v>528</v>
      </c>
      <c r="H192" s="467"/>
      <c r="I192" s="468"/>
    </row>
    <row r="193" spans="2:9" s="469" customFormat="1" ht="13" x14ac:dyDescent="0.3">
      <c r="B193" s="465"/>
      <c r="C193" s="900"/>
      <c r="D193" s="474" t="s">
        <v>529</v>
      </c>
      <c r="E193" s="475">
        <v>1058</v>
      </c>
      <c r="F193" s="475"/>
      <c r="G193" s="903"/>
      <c r="H193" s="467"/>
      <c r="I193" s="468"/>
    </row>
    <row r="194" spans="2:9" s="469" customFormat="1" ht="13" x14ac:dyDescent="0.3">
      <c r="B194" s="465"/>
      <c r="C194" s="900"/>
      <c r="D194" s="474" t="s">
        <v>530</v>
      </c>
      <c r="E194" s="475">
        <v>8073</v>
      </c>
      <c r="F194" s="475"/>
      <c r="G194" s="903"/>
      <c r="H194" s="467"/>
      <c r="I194" s="468"/>
    </row>
    <row r="195" spans="2:9" s="469" customFormat="1" ht="13" x14ac:dyDescent="0.3">
      <c r="B195" s="465"/>
      <c r="C195" s="900"/>
      <c r="D195" s="474" t="s">
        <v>498</v>
      </c>
      <c r="E195" s="475">
        <v>8855</v>
      </c>
      <c r="F195" s="440">
        <v>3910</v>
      </c>
      <c r="G195" s="903"/>
      <c r="H195" s="467"/>
      <c r="I195" s="468"/>
    </row>
    <row r="196" spans="2:9" s="469" customFormat="1" ht="13" x14ac:dyDescent="0.3">
      <c r="B196" s="465"/>
      <c r="C196" s="900"/>
      <c r="D196" s="474" t="s">
        <v>506</v>
      </c>
      <c r="E196" s="475">
        <v>8183.4</v>
      </c>
      <c r="F196" s="440"/>
      <c r="G196" s="903"/>
      <c r="H196" s="467"/>
      <c r="I196" s="468"/>
    </row>
    <row r="197" spans="2:9" s="469" customFormat="1" ht="13" x14ac:dyDescent="0.3">
      <c r="B197" s="465"/>
      <c r="C197" s="900"/>
      <c r="D197" s="474" t="s">
        <v>531</v>
      </c>
      <c r="E197" s="475">
        <v>12880</v>
      </c>
      <c r="F197" s="440">
        <v>3861.7</v>
      </c>
      <c r="G197" s="903"/>
      <c r="H197" s="467"/>
      <c r="I197" s="468"/>
    </row>
    <row r="198" spans="2:9" s="469" customFormat="1" ht="13.5" thickBot="1" x14ac:dyDescent="0.35">
      <c r="B198" s="465"/>
      <c r="C198" s="901"/>
      <c r="D198" s="476" t="s">
        <v>492</v>
      </c>
      <c r="E198" s="491">
        <v>129140.5</v>
      </c>
      <c r="F198" s="442"/>
      <c r="G198" s="904"/>
      <c r="H198" s="467"/>
      <c r="I198" s="468"/>
    </row>
    <row r="199" spans="2:9" s="469" customFormat="1" ht="26.5" thickBot="1" x14ac:dyDescent="0.35">
      <c r="B199" s="465"/>
      <c r="C199" s="444" t="s">
        <v>475</v>
      </c>
      <c r="D199" s="460" t="s">
        <v>508</v>
      </c>
      <c r="E199" s="446">
        <v>13850</v>
      </c>
      <c r="F199" s="446">
        <f>+E199</f>
        <v>13850</v>
      </c>
      <c r="G199" s="536" t="s">
        <v>525</v>
      </c>
      <c r="H199" s="467"/>
      <c r="I199" s="468"/>
    </row>
    <row r="200" spans="2:9" s="469" customFormat="1" ht="13" x14ac:dyDescent="0.3">
      <c r="B200" s="465"/>
      <c r="C200" s="899" t="s">
        <v>475</v>
      </c>
      <c r="D200" s="438" t="s">
        <v>508</v>
      </c>
      <c r="E200" s="439">
        <v>65370.55</v>
      </c>
      <c r="F200" s="439">
        <f>+E200</f>
        <v>65370.55</v>
      </c>
      <c r="G200" s="902" t="s">
        <v>532</v>
      </c>
      <c r="H200" s="467"/>
      <c r="I200" s="468"/>
    </row>
    <row r="201" spans="2:9" s="469" customFormat="1" ht="13.5" thickBot="1" x14ac:dyDescent="0.35">
      <c r="B201" s="465"/>
      <c r="C201" s="901"/>
      <c r="D201" s="441" t="s">
        <v>487</v>
      </c>
      <c r="E201" s="442">
        <v>7992.99</v>
      </c>
      <c r="F201" s="442"/>
      <c r="G201" s="904"/>
      <c r="H201" s="467"/>
      <c r="I201" s="468"/>
    </row>
    <row r="202" spans="2:9" s="469" customFormat="1" ht="12.75" customHeight="1" thickBot="1" x14ac:dyDescent="0.35">
      <c r="B202" s="465"/>
      <c r="C202" s="776" t="s">
        <v>475</v>
      </c>
      <c r="D202" s="460" t="s">
        <v>508</v>
      </c>
      <c r="E202" s="446">
        <v>9483.3799999999992</v>
      </c>
      <c r="F202" s="446">
        <v>7671.65</v>
      </c>
      <c r="G202" s="778" t="s">
        <v>528</v>
      </c>
      <c r="H202" s="467"/>
      <c r="I202" s="468"/>
    </row>
    <row r="203" spans="2:9" s="469" customFormat="1" ht="13" x14ac:dyDescent="0.3">
      <c r="B203" s="465"/>
      <c r="C203" s="899" t="s">
        <v>475</v>
      </c>
      <c r="D203" s="492" t="s">
        <v>508</v>
      </c>
      <c r="E203" s="462">
        <v>8113.22</v>
      </c>
      <c r="F203" s="473"/>
      <c r="G203" s="902" t="s">
        <v>477</v>
      </c>
      <c r="H203" s="467"/>
      <c r="I203" s="468"/>
    </row>
    <row r="204" spans="2:9" s="469" customFormat="1" ht="13" x14ac:dyDescent="0.3">
      <c r="B204" s="465"/>
      <c r="C204" s="900"/>
      <c r="D204" s="493" t="s">
        <v>498</v>
      </c>
      <c r="E204" s="494">
        <v>3995.96</v>
      </c>
      <c r="F204" s="475"/>
      <c r="G204" s="903"/>
      <c r="H204" s="467"/>
      <c r="I204" s="468"/>
    </row>
    <row r="205" spans="2:9" s="469" customFormat="1" ht="13" x14ac:dyDescent="0.3">
      <c r="B205" s="465"/>
      <c r="C205" s="900"/>
      <c r="D205" s="493" t="s">
        <v>506</v>
      </c>
      <c r="E205" s="494">
        <v>17075.09375</v>
      </c>
      <c r="F205" s="475"/>
      <c r="G205" s="903"/>
      <c r="H205" s="467"/>
      <c r="I205" s="468"/>
    </row>
    <row r="206" spans="2:9" s="469" customFormat="1" ht="13" x14ac:dyDescent="0.3">
      <c r="B206" s="465"/>
      <c r="C206" s="900"/>
      <c r="D206" s="493" t="s">
        <v>492</v>
      </c>
      <c r="E206" s="494">
        <v>3908.28125</v>
      </c>
      <c r="F206" s="475"/>
      <c r="G206" s="903"/>
      <c r="H206" s="467"/>
      <c r="I206" s="468"/>
    </row>
    <row r="207" spans="2:9" s="469" customFormat="1" ht="13" x14ac:dyDescent="0.3">
      <c r="B207" s="465"/>
      <c r="C207" s="900"/>
      <c r="D207" s="495" t="s">
        <v>482</v>
      </c>
      <c r="E207" s="494">
        <v>6968.6875</v>
      </c>
      <c r="F207" s="475"/>
      <c r="G207" s="903"/>
      <c r="H207" s="467"/>
      <c r="I207" s="468"/>
    </row>
    <row r="208" spans="2:9" s="469" customFormat="1" ht="13" x14ac:dyDescent="0.3">
      <c r="B208" s="465"/>
      <c r="C208" s="900"/>
      <c r="D208" s="495" t="s">
        <v>533</v>
      </c>
      <c r="E208" s="496">
        <v>6003.125</v>
      </c>
      <c r="F208" s="475"/>
      <c r="G208" s="903"/>
      <c r="H208" s="467"/>
      <c r="I208" s="468"/>
    </row>
    <row r="209" spans="2:9" s="469" customFormat="1" ht="13" x14ac:dyDescent="0.3">
      <c r="B209" s="465"/>
      <c r="C209" s="900"/>
      <c r="D209" s="495" t="s">
        <v>480</v>
      </c>
      <c r="E209" s="496">
        <v>2750.28125</v>
      </c>
      <c r="F209" s="475">
        <f>+E209</f>
        <v>2750.28125</v>
      </c>
      <c r="G209" s="903"/>
      <c r="H209" s="467"/>
      <c r="I209" s="468"/>
    </row>
    <row r="210" spans="2:9" s="469" customFormat="1" ht="13.5" thickBot="1" x14ac:dyDescent="0.35">
      <c r="B210" s="465"/>
      <c r="C210" s="901"/>
      <c r="D210" s="441" t="s">
        <v>500</v>
      </c>
      <c r="E210" s="497">
        <v>4006</v>
      </c>
      <c r="F210" s="442"/>
      <c r="G210" s="904"/>
      <c r="H210" s="467"/>
      <c r="I210" s="468"/>
    </row>
    <row r="211" spans="2:9" s="469" customFormat="1" ht="13" x14ac:dyDescent="0.3">
      <c r="B211" s="465"/>
      <c r="C211" s="899" t="s">
        <v>475</v>
      </c>
      <c r="D211" s="499" t="s">
        <v>507</v>
      </c>
      <c r="E211" s="500">
        <v>12325</v>
      </c>
      <c r="F211" s="922">
        <f>+E216</f>
        <v>9233</v>
      </c>
      <c r="G211" s="925" t="s">
        <v>477</v>
      </c>
      <c r="H211" s="467"/>
      <c r="I211" s="468"/>
    </row>
    <row r="212" spans="2:9" s="469" customFormat="1" ht="13" x14ac:dyDescent="0.3">
      <c r="B212" s="465"/>
      <c r="C212" s="900"/>
      <c r="D212" s="495" t="s">
        <v>534</v>
      </c>
      <c r="E212" s="494">
        <v>12914.8</v>
      </c>
      <c r="F212" s="923"/>
      <c r="G212" s="926"/>
      <c r="H212" s="467"/>
      <c r="I212" s="468"/>
    </row>
    <row r="213" spans="2:9" s="469" customFormat="1" ht="13" x14ac:dyDescent="0.3">
      <c r="B213" s="465"/>
      <c r="C213" s="900"/>
      <c r="D213" s="498" t="s">
        <v>506</v>
      </c>
      <c r="E213" s="494">
        <v>11552</v>
      </c>
      <c r="F213" s="923"/>
      <c r="G213" s="926"/>
      <c r="H213" s="467"/>
      <c r="I213" s="468"/>
    </row>
    <row r="214" spans="2:9" s="469" customFormat="1" ht="13" x14ac:dyDescent="0.3">
      <c r="B214" s="465"/>
      <c r="C214" s="900"/>
      <c r="D214" s="498" t="s">
        <v>492</v>
      </c>
      <c r="E214" s="494">
        <v>9673</v>
      </c>
      <c r="F214" s="923"/>
      <c r="G214" s="926"/>
      <c r="H214" s="467"/>
      <c r="I214" s="468"/>
    </row>
    <row r="215" spans="2:9" s="469" customFormat="1" ht="13" x14ac:dyDescent="0.3">
      <c r="B215" s="465"/>
      <c r="C215" s="900"/>
      <c r="D215" s="498" t="s">
        <v>500</v>
      </c>
      <c r="E215" s="494">
        <v>10047</v>
      </c>
      <c r="F215" s="923"/>
      <c r="G215" s="926"/>
      <c r="H215" s="467"/>
      <c r="I215" s="468"/>
    </row>
    <row r="216" spans="2:9" s="469" customFormat="1" ht="13.5" thickBot="1" x14ac:dyDescent="0.35">
      <c r="B216" s="465"/>
      <c r="C216" s="901"/>
      <c r="D216" s="501" t="s">
        <v>498</v>
      </c>
      <c r="E216" s="502">
        <v>9233</v>
      </c>
      <c r="F216" s="924"/>
      <c r="G216" s="927"/>
      <c r="H216" s="467"/>
      <c r="I216" s="468"/>
    </row>
    <row r="217" spans="2:9" s="504" customFormat="1" ht="13" x14ac:dyDescent="0.3">
      <c r="B217" s="465"/>
      <c r="C217" s="899" t="s">
        <v>475</v>
      </c>
      <c r="D217" s="503" t="s">
        <v>508</v>
      </c>
      <c r="E217" s="607">
        <v>20868.38</v>
      </c>
      <c r="F217" s="938">
        <f>+E218</f>
        <v>15790.37</v>
      </c>
      <c r="G217" s="939" t="s">
        <v>477</v>
      </c>
      <c r="H217" s="467"/>
      <c r="I217" s="468"/>
    </row>
    <row r="218" spans="2:9" s="504" customFormat="1" ht="13.5" thickBot="1" x14ac:dyDescent="0.35">
      <c r="B218" s="465"/>
      <c r="C218" s="901"/>
      <c r="D218" s="606" t="s">
        <v>487</v>
      </c>
      <c r="E218" s="505">
        <v>15790.37</v>
      </c>
      <c r="F218" s="938"/>
      <c r="G218" s="939"/>
      <c r="H218" s="467"/>
      <c r="I218" s="468"/>
    </row>
    <row r="219" spans="2:9" s="504" customFormat="1" ht="13" x14ac:dyDescent="0.3">
      <c r="B219" s="465"/>
      <c r="C219" s="899" t="s">
        <v>475</v>
      </c>
      <c r="D219" s="506" t="s">
        <v>534</v>
      </c>
      <c r="E219" s="507">
        <v>21395.63</v>
      </c>
      <c r="F219" s="922">
        <f>+E220</f>
        <v>21516.7</v>
      </c>
      <c r="G219" s="940" t="s">
        <v>477</v>
      </c>
      <c r="H219" s="467"/>
      <c r="I219" s="468"/>
    </row>
    <row r="220" spans="2:9" s="504" customFormat="1" ht="13.5" thickBot="1" x14ac:dyDescent="0.35">
      <c r="B220" s="465"/>
      <c r="C220" s="901"/>
      <c r="D220" s="501" t="s">
        <v>498</v>
      </c>
      <c r="E220" s="508">
        <v>21516.7</v>
      </c>
      <c r="F220" s="924"/>
      <c r="G220" s="941"/>
      <c r="H220" s="467"/>
      <c r="I220" s="468"/>
    </row>
    <row r="221" spans="2:9" s="504" customFormat="1" ht="13" x14ac:dyDescent="0.3">
      <c r="B221" s="465"/>
      <c r="C221" s="899" t="s">
        <v>475</v>
      </c>
      <c r="D221" s="503" t="s">
        <v>534</v>
      </c>
      <c r="E221" s="608">
        <v>19659.5</v>
      </c>
      <c r="F221" s="923">
        <f>+E226</f>
        <v>15421.750000000002</v>
      </c>
      <c r="G221" s="930" t="s">
        <v>477</v>
      </c>
      <c r="H221" s="467"/>
      <c r="I221" s="468"/>
    </row>
    <row r="222" spans="2:9" s="504" customFormat="1" ht="13" x14ac:dyDescent="0.3">
      <c r="B222" s="465"/>
      <c r="C222" s="900"/>
      <c r="D222" s="498" t="s">
        <v>506</v>
      </c>
      <c r="E222" s="494">
        <v>17209.45</v>
      </c>
      <c r="F222" s="923"/>
      <c r="G222" s="926"/>
      <c r="H222" s="467"/>
      <c r="I222" s="468"/>
    </row>
    <row r="223" spans="2:9" s="504" customFormat="1" ht="13" x14ac:dyDescent="0.3">
      <c r="B223" s="465"/>
      <c r="C223" s="900"/>
      <c r="D223" s="498" t="s">
        <v>492</v>
      </c>
      <c r="E223" s="494">
        <v>15785</v>
      </c>
      <c r="F223" s="923"/>
      <c r="G223" s="926"/>
      <c r="H223" s="467"/>
      <c r="I223" s="468"/>
    </row>
    <row r="224" spans="2:9" s="504" customFormat="1" ht="13" x14ac:dyDescent="0.3">
      <c r="B224" s="465"/>
      <c r="C224" s="900"/>
      <c r="D224" s="498" t="s">
        <v>500</v>
      </c>
      <c r="E224" s="494">
        <v>15966.25</v>
      </c>
      <c r="F224" s="923"/>
      <c r="G224" s="926"/>
      <c r="H224" s="467"/>
      <c r="I224" s="468"/>
    </row>
    <row r="225" spans="2:9" s="504" customFormat="1" ht="13" x14ac:dyDescent="0.3">
      <c r="B225" s="465"/>
      <c r="C225" s="900"/>
      <c r="D225" s="498" t="s">
        <v>498</v>
      </c>
      <c r="E225" s="509">
        <v>17379</v>
      </c>
      <c r="F225" s="923"/>
      <c r="G225" s="926"/>
      <c r="H225" s="467"/>
      <c r="I225" s="468"/>
    </row>
    <row r="226" spans="2:9" s="504" customFormat="1" ht="13.5" thickBot="1" x14ac:dyDescent="0.35">
      <c r="B226" s="465"/>
      <c r="C226" s="901"/>
      <c r="D226" s="606" t="s">
        <v>507</v>
      </c>
      <c r="E226" s="510">
        <v>15421.750000000002</v>
      </c>
      <c r="F226" s="923"/>
      <c r="G226" s="931"/>
      <c r="H226" s="467"/>
      <c r="I226" s="468"/>
    </row>
    <row r="227" spans="2:9" s="504" customFormat="1" ht="13" x14ac:dyDescent="0.3">
      <c r="B227" s="465"/>
      <c r="C227" s="932" t="s">
        <v>475</v>
      </c>
      <c r="D227" s="506" t="s">
        <v>487</v>
      </c>
      <c r="E227" s="507">
        <v>36496.300000000003</v>
      </c>
      <c r="F227" s="922">
        <f>+E229</f>
        <v>57600.959999999999</v>
      </c>
      <c r="G227" s="935" t="s">
        <v>535</v>
      </c>
      <c r="H227" s="467"/>
      <c r="I227" s="468"/>
    </row>
    <row r="228" spans="2:9" s="504" customFormat="1" ht="13" x14ac:dyDescent="0.3">
      <c r="B228" s="465"/>
      <c r="C228" s="933"/>
      <c r="D228" s="498" t="s">
        <v>493</v>
      </c>
      <c r="E228" s="511">
        <v>70354</v>
      </c>
      <c r="F228" s="923"/>
      <c r="G228" s="936"/>
      <c r="H228" s="467"/>
      <c r="I228" s="468"/>
    </row>
    <row r="229" spans="2:9" s="504" customFormat="1" ht="13" x14ac:dyDescent="0.3">
      <c r="B229" s="465"/>
      <c r="C229" s="933"/>
      <c r="D229" s="498" t="s">
        <v>508</v>
      </c>
      <c r="E229" s="511">
        <v>57600.959999999999</v>
      </c>
      <c r="F229" s="923"/>
      <c r="G229" s="936"/>
      <c r="H229" s="467"/>
      <c r="I229" s="468"/>
    </row>
    <row r="230" spans="2:9" s="504" customFormat="1" ht="13.5" thickBot="1" x14ac:dyDescent="0.35">
      <c r="B230" s="465"/>
      <c r="C230" s="934"/>
      <c r="D230" s="501" t="s">
        <v>492</v>
      </c>
      <c r="E230" s="508">
        <v>88222.92</v>
      </c>
      <c r="F230" s="924"/>
      <c r="G230" s="937"/>
      <c r="H230" s="467"/>
      <c r="I230" s="468"/>
    </row>
    <row r="231" spans="2:9" s="151" customFormat="1" ht="14.5" thickBot="1" x14ac:dyDescent="0.35">
      <c r="B231" s="32"/>
      <c r="C231" s="512"/>
      <c r="D231" s="513"/>
      <c r="E231" s="514"/>
      <c r="F231" s="514"/>
      <c r="G231" s="515"/>
      <c r="H231" s="34"/>
      <c r="I231" s="338"/>
    </row>
    <row r="232" spans="2:9" s="187" customFormat="1" x14ac:dyDescent="0.3">
      <c r="B232" s="32"/>
      <c r="C232" s="928" t="s">
        <v>536</v>
      </c>
      <c r="D232" s="928"/>
      <c r="E232" s="928"/>
      <c r="F232" s="928"/>
      <c r="G232" s="928"/>
      <c r="H232" s="34"/>
      <c r="I232" s="338"/>
    </row>
    <row r="233" spans="2:9" s="187" customFormat="1" x14ac:dyDescent="0.3">
      <c r="B233" s="32"/>
      <c r="C233" s="929" t="s">
        <v>537</v>
      </c>
      <c r="D233" s="929"/>
      <c r="E233" s="929"/>
      <c r="F233" s="929"/>
      <c r="G233" s="929"/>
      <c r="H233" s="34"/>
      <c r="I233" s="338"/>
    </row>
    <row r="234" spans="2:9" s="187" customFormat="1" ht="14.5" thickBot="1" x14ac:dyDescent="0.35">
      <c r="B234" s="36"/>
      <c r="C234" s="37"/>
      <c r="D234" s="37"/>
      <c r="E234" s="37"/>
      <c r="F234" s="37"/>
      <c r="G234" s="37"/>
      <c r="H234" s="37"/>
      <c r="I234" s="38"/>
    </row>
    <row r="235" spans="2:9" s="187" customFormat="1" x14ac:dyDescent="0.3">
      <c r="B235" s="7"/>
      <c r="C235" s="7"/>
      <c r="D235" s="7"/>
      <c r="E235" s="7"/>
      <c r="F235" s="7"/>
      <c r="G235" s="7"/>
      <c r="H235" s="7"/>
      <c r="I235" s="7"/>
    </row>
    <row r="236" spans="2:9" s="187" customFormat="1" x14ac:dyDescent="0.3">
      <c r="B236" s="7"/>
      <c r="C236" s="7"/>
      <c r="D236" s="7"/>
      <c r="E236" s="7"/>
      <c r="F236" s="7"/>
      <c r="G236" s="7"/>
      <c r="H236" s="7"/>
      <c r="I236" s="7"/>
    </row>
    <row r="237" spans="2:9" s="187" customFormat="1" x14ac:dyDescent="0.3">
      <c r="B237" s="7"/>
      <c r="C237" s="15"/>
      <c r="D237" s="15"/>
      <c r="E237" s="15"/>
      <c r="F237" s="15"/>
      <c r="G237" s="15"/>
      <c r="H237" s="15"/>
      <c r="I237" s="7"/>
    </row>
    <row r="238" spans="2:9" s="187" customFormat="1" x14ac:dyDescent="0.3">
      <c r="B238" s="7"/>
      <c r="C238" s="15"/>
      <c r="D238" s="15"/>
      <c r="E238" s="15"/>
      <c r="F238" s="15"/>
      <c r="G238" s="15"/>
      <c r="H238" s="15"/>
      <c r="I238" s="7"/>
    </row>
    <row r="239" spans="2:9" s="187" customFormat="1" x14ac:dyDescent="0.3">
      <c r="B239" s="7"/>
      <c r="C239" s="188"/>
      <c r="D239" s="188"/>
      <c r="E239" s="188"/>
      <c r="F239" s="188"/>
      <c r="G239" s="188"/>
      <c r="H239" s="188"/>
      <c r="I239" s="7"/>
    </row>
    <row r="240" spans="2:9" s="187" customFormat="1" x14ac:dyDescent="0.3">
      <c r="B240" s="7"/>
      <c r="C240" s="7"/>
      <c r="D240" s="7"/>
      <c r="E240" s="530"/>
      <c r="F240" s="530"/>
      <c r="G240" s="530"/>
      <c r="H240" s="530"/>
      <c r="I240" s="7"/>
    </row>
    <row r="241" spans="2:9" s="187" customFormat="1" x14ac:dyDescent="0.3">
      <c r="B241" s="7"/>
      <c r="C241" s="7"/>
      <c r="D241" s="7"/>
      <c r="E241" s="528"/>
      <c r="F241" s="528"/>
      <c r="G241" s="528"/>
      <c r="H241" s="528"/>
      <c r="I241" s="7"/>
    </row>
    <row r="242" spans="2:9" s="187" customFormat="1" x14ac:dyDescent="0.3">
      <c r="B242" s="7"/>
      <c r="C242" s="7"/>
      <c r="D242" s="7"/>
      <c r="E242" s="7"/>
      <c r="F242" s="7"/>
      <c r="G242" s="7"/>
      <c r="H242" s="7"/>
      <c r="I242" s="7"/>
    </row>
    <row r="243" spans="2:9" s="187" customFormat="1" x14ac:dyDescent="0.3">
      <c r="B243" s="7"/>
      <c r="C243" s="15"/>
      <c r="D243" s="15"/>
      <c r="E243" s="15"/>
      <c r="F243" s="15"/>
      <c r="G243" s="15"/>
      <c r="H243" s="15"/>
      <c r="I243" s="7"/>
    </row>
    <row r="244" spans="2:9" s="187" customFormat="1" x14ac:dyDescent="0.3">
      <c r="B244" s="7"/>
      <c r="C244" s="15"/>
      <c r="D244" s="15"/>
      <c r="E244" s="15"/>
      <c r="F244" s="15"/>
      <c r="G244" s="15"/>
      <c r="H244" s="15"/>
      <c r="I244" s="7"/>
    </row>
    <row r="245" spans="2:9" s="187" customFormat="1" x14ac:dyDescent="0.3">
      <c r="B245" s="7"/>
      <c r="C245" s="15"/>
      <c r="D245" s="15"/>
      <c r="E245" s="15"/>
      <c r="F245" s="15"/>
      <c r="G245" s="15"/>
      <c r="H245" s="15"/>
      <c r="I245" s="7"/>
    </row>
    <row r="246" spans="2:9" s="187" customFormat="1" x14ac:dyDescent="0.3">
      <c r="B246" s="7"/>
      <c r="C246" s="7"/>
      <c r="D246" s="7"/>
      <c r="E246" s="530"/>
      <c r="F246" s="530"/>
      <c r="G246" s="530"/>
      <c r="H246" s="530"/>
      <c r="I246" s="7"/>
    </row>
    <row r="247" spans="2:9" s="187" customFormat="1" x14ac:dyDescent="0.3">
      <c r="B247" s="7"/>
      <c r="C247" s="7"/>
      <c r="D247" s="7"/>
      <c r="E247" s="528"/>
      <c r="F247" s="528"/>
      <c r="G247" s="528"/>
      <c r="H247" s="528"/>
      <c r="I247" s="7"/>
    </row>
    <row r="248" spans="2:9" s="187" customFormat="1" x14ac:dyDescent="0.3">
      <c r="B248" s="7"/>
      <c r="C248" s="7"/>
      <c r="D248" s="7"/>
      <c r="E248" s="7"/>
      <c r="F248" s="7"/>
      <c r="G248" s="7"/>
      <c r="H248" s="7"/>
      <c r="I248" s="7"/>
    </row>
    <row r="249" spans="2:9" s="187" customFormat="1" x14ac:dyDescent="0.3">
      <c r="B249" s="7"/>
      <c r="C249" s="15"/>
      <c r="D249" s="15"/>
      <c r="E249" s="7"/>
      <c r="F249" s="7"/>
      <c r="G249" s="7"/>
      <c r="H249" s="7"/>
      <c r="I249" s="7"/>
    </row>
    <row r="250" spans="2:9" s="187" customFormat="1" x14ac:dyDescent="0.3">
      <c r="B250" s="7"/>
      <c r="C250" s="15"/>
      <c r="D250" s="15"/>
      <c r="E250" s="528"/>
      <c r="F250" s="528"/>
      <c r="G250" s="528"/>
      <c r="H250" s="528"/>
      <c r="I250" s="7"/>
    </row>
    <row r="251" spans="2:9" s="187" customFormat="1" x14ac:dyDescent="0.3">
      <c r="B251" s="7"/>
      <c r="C251" s="7"/>
      <c r="D251" s="7"/>
      <c r="E251" s="528"/>
      <c r="F251" s="528"/>
      <c r="G251" s="528"/>
      <c r="H251" s="528"/>
      <c r="I251" s="7"/>
    </row>
    <row r="252" spans="2:9" s="187" customFormat="1" x14ac:dyDescent="0.3">
      <c r="B252" s="7"/>
      <c r="C252" s="18"/>
      <c r="D252" s="7"/>
      <c r="E252" s="18"/>
      <c r="F252" s="18"/>
      <c r="G252" s="18"/>
      <c r="H252" s="18"/>
      <c r="I252" s="7"/>
    </row>
    <row r="253" spans="2:9" s="187" customFormat="1" x14ac:dyDescent="0.3">
      <c r="B253" s="7"/>
      <c r="C253" s="18"/>
      <c r="D253" s="18"/>
      <c r="E253" s="18"/>
      <c r="F253" s="18"/>
      <c r="G253" s="18"/>
      <c r="H253" s="18"/>
      <c r="I253" s="6"/>
    </row>
  </sheetData>
  <mergeCells count="116">
    <mergeCell ref="C232:G232"/>
    <mergeCell ref="C233:G233"/>
    <mergeCell ref="C221:C226"/>
    <mergeCell ref="F221:F226"/>
    <mergeCell ref="G221:G226"/>
    <mergeCell ref="C227:C230"/>
    <mergeCell ref="F227:F230"/>
    <mergeCell ref="G227:G230"/>
    <mergeCell ref="C217:C218"/>
    <mergeCell ref="F217:F218"/>
    <mergeCell ref="G217:G218"/>
    <mergeCell ref="C219:C220"/>
    <mergeCell ref="F219:F220"/>
    <mergeCell ref="G219:G220"/>
    <mergeCell ref="C203:C210"/>
    <mergeCell ref="G203:G210"/>
    <mergeCell ref="C211:C216"/>
    <mergeCell ref="F211:F216"/>
    <mergeCell ref="G211:G216"/>
    <mergeCell ref="C192:C198"/>
    <mergeCell ref="G192:G198"/>
    <mergeCell ref="C200:C201"/>
    <mergeCell ref="G200:G201"/>
    <mergeCell ref="C179:C180"/>
    <mergeCell ref="G179:G180"/>
    <mergeCell ref="C181:C186"/>
    <mergeCell ref="G181:G186"/>
    <mergeCell ref="C189:C191"/>
    <mergeCell ref="F189:F191"/>
    <mergeCell ref="G189:G191"/>
    <mergeCell ref="C171:C172"/>
    <mergeCell ref="F171:F172"/>
    <mergeCell ref="G171:G172"/>
    <mergeCell ref="C173:C178"/>
    <mergeCell ref="F173:F178"/>
    <mergeCell ref="G173:G178"/>
    <mergeCell ref="C162:C165"/>
    <mergeCell ref="F162:F165"/>
    <mergeCell ref="G162:G165"/>
    <mergeCell ref="C166:C170"/>
    <mergeCell ref="F166:F167"/>
    <mergeCell ref="G166:G170"/>
    <mergeCell ref="C153:C154"/>
    <mergeCell ref="F153:F154"/>
    <mergeCell ref="G153:G154"/>
    <mergeCell ref="C155:C161"/>
    <mergeCell ref="G155:G161"/>
    <mergeCell ref="C147:C148"/>
    <mergeCell ref="G147:G148"/>
    <mergeCell ref="C149:C152"/>
    <mergeCell ref="G149:G152"/>
    <mergeCell ref="C137:C138"/>
    <mergeCell ref="G137:G138"/>
    <mergeCell ref="C139:C142"/>
    <mergeCell ref="G139:G142"/>
    <mergeCell ref="C143:C145"/>
    <mergeCell ref="F143:F145"/>
    <mergeCell ref="G143:G145"/>
    <mergeCell ref="C132:C135"/>
    <mergeCell ref="G132:G135"/>
    <mergeCell ref="F133:F135"/>
    <mergeCell ref="C124:C126"/>
    <mergeCell ref="F124:F126"/>
    <mergeCell ref="G124:G126"/>
    <mergeCell ref="C127:C130"/>
    <mergeCell ref="G127:G130"/>
    <mergeCell ref="F128:F129"/>
    <mergeCell ref="C117:C119"/>
    <mergeCell ref="F117:F119"/>
    <mergeCell ref="G117:G119"/>
    <mergeCell ref="C120:C122"/>
    <mergeCell ref="F120:F122"/>
    <mergeCell ref="G120:G122"/>
    <mergeCell ref="C107:C111"/>
    <mergeCell ref="F107:F111"/>
    <mergeCell ref="G107:G111"/>
    <mergeCell ref="C112:C114"/>
    <mergeCell ref="D112:D114"/>
    <mergeCell ref="E112:E114"/>
    <mergeCell ref="F112:F114"/>
    <mergeCell ref="G112:G114"/>
    <mergeCell ref="C102:C104"/>
    <mergeCell ref="F102:F104"/>
    <mergeCell ref="G102:G104"/>
    <mergeCell ref="C105:C106"/>
    <mergeCell ref="F105:F106"/>
    <mergeCell ref="G105:G106"/>
    <mergeCell ref="C95:C97"/>
    <mergeCell ref="F95:F97"/>
    <mergeCell ref="G95:G97"/>
    <mergeCell ref="C98:C100"/>
    <mergeCell ref="F98:F100"/>
    <mergeCell ref="G98:G100"/>
    <mergeCell ref="C89:C91"/>
    <mergeCell ref="F89:F91"/>
    <mergeCell ref="G89:G91"/>
    <mergeCell ref="C92:C94"/>
    <mergeCell ref="F92:F94"/>
    <mergeCell ref="G92:G94"/>
    <mergeCell ref="C80:C81"/>
    <mergeCell ref="F80:F81"/>
    <mergeCell ref="G80:G81"/>
    <mergeCell ref="C82:C87"/>
    <mergeCell ref="F82:F87"/>
    <mergeCell ref="G82:G87"/>
    <mergeCell ref="C71:H71"/>
    <mergeCell ref="C72:H72"/>
    <mergeCell ref="C73:H73"/>
    <mergeCell ref="C75:D75"/>
    <mergeCell ref="C76:E76"/>
    <mergeCell ref="C3:H3"/>
    <mergeCell ref="B4:H4"/>
    <mergeCell ref="C5:H5"/>
    <mergeCell ref="C8:D8"/>
    <mergeCell ref="C9:H9"/>
    <mergeCell ref="C6:F6"/>
  </mergeCells>
  <dataValidations disablePrompts="1" count="2">
    <dataValidation type="list" allowBlank="1" showInputMessage="1" showErrorMessage="1" sqref="E250:H250" xr:uid="{00000000-0002-0000-0200-000000000000}">
      <formula1>#REF!</formula1>
    </dataValidation>
    <dataValidation type="whole" allowBlank="1" showInputMessage="1" showErrorMessage="1" sqref="E246:H246 E240:H240" xr:uid="{00000000-0002-0000-0200-000001000000}">
      <formula1>-999999999</formula1>
      <formula2>999999999</formula2>
    </dataValidation>
  </dataValidations>
  <pageMargins left="0.2" right="0.21" top="0.17" bottom="0.17" header="0.17" footer="0.17"/>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B1:K61"/>
  <sheetViews>
    <sheetView tabSelected="1" topLeftCell="A4" zoomScale="80" zoomScaleNormal="80" workbookViewId="0">
      <selection activeCell="E17" sqref="E17:F17"/>
    </sheetView>
  </sheetViews>
  <sheetFormatPr defaultColWidth="9.1796875" defaultRowHeight="14" x14ac:dyDescent="0.3"/>
  <cols>
    <col min="1" max="2" width="1.81640625" style="13" customWidth="1"/>
    <col min="3" max="4" width="22.81640625" style="13" customWidth="1"/>
    <col min="5" max="5" width="42.7265625" style="13" customWidth="1"/>
    <col min="6" max="6" width="89" style="13" customWidth="1"/>
    <col min="7" max="7" width="2" style="13" customWidth="1"/>
    <col min="8" max="8" width="1.54296875" style="13" customWidth="1"/>
    <col min="9" max="16384" width="9.1796875" style="13"/>
  </cols>
  <sheetData>
    <row r="1" spans="2:11" ht="14.5" thickBot="1" x14ac:dyDescent="0.35"/>
    <row r="2" spans="2:11" ht="14.5" thickBot="1" x14ac:dyDescent="0.35">
      <c r="B2" s="72"/>
      <c r="C2" s="41"/>
      <c r="D2" s="41"/>
      <c r="E2" s="41"/>
      <c r="F2" s="41"/>
      <c r="G2" s="42"/>
    </row>
    <row r="3" spans="2:11" ht="14.5" thickBot="1" x14ac:dyDescent="0.35">
      <c r="B3" s="73"/>
      <c r="C3" s="960" t="s">
        <v>538</v>
      </c>
      <c r="D3" s="961"/>
      <c r="E3" s="961"/>
      <c r="F3" s="962"/>
      <c r="G3" s="247"/>
    </row>
    <row r="4" spans="2:11" x14ac:dyDescent="0.3">
      <c r="B4" s="973"/>
      <c r="C4" s="974"/>
      <c r="D4" s="974"/>
      <c r="E4" s="974"/>
      <c r="F4" s="974"/>
      <c r="G4" s="247"/>
    </row>
    <row r="5" spans="2:11" x14ac:dyDescent="0.3">
      <c r="B5" s="248"/>
      <c r="C5" s="975"/>
      <c r="D5" s="975"/>
      <c r="E5" s="975"/>
      <c r="F5" s="975"/>
      <c r="G5" s="247"/>
    </row>
    <row r="6" spans="2:11" x14ac:dyDescent="0.3">
      <c r="B6" s="248"/>
      <c r="C6" s="52"/>
      <c r="D6" s="225"/>
      <c r="E6" s="52"/>
      <c r="F6" s="225"/>
      <c r="G6" s="247"/>
    </row>
    <row r="7" spans="2:11" x14ac:dyDescent="0.3">
      <c r="B7" s="248"/>
      <c r="C7" s="976" t="s">
        <v>539</v>
      </c>
      <c r="D7" s="976"/>
      <c r="E7" s="249"/>
      <c r="F7" s="225"/>
      <c r="G7" s="247"/>
    </row>
    <row r="8" spans="2:11" ht="14.5" thickBot="1" x14ac:dyDescent="0.35">
      <c r="B8" s="248"/>
      <c r="C8" s="967" t="s">
        <v>540</v>
      </c>
      <c r="D8" s="967"/>
      <c r="E8" s="967"/>
      <c r="F8" s="967"/>
      <c r="G8" s="247"/>
    </row>
    <row r="9" spans="2:11" ht="14.5" thickBot="1" x14ac:dyDescent="0.35">
      <c r="B9" s="248"/>
      <c r="C9" s="250" t="s">
        <v>541</v>
      </c>
      <c r="D9" s="251" t="s">
        <v>542</v>
      </c>
      <c r="E9" s="954" t="s">
        <v>543</v>
      </c>
      <c r="F9" s="955"/>
      <c r="G9" s="247"/>
    </row>
    <row r="10" spans="2:11" ht="98" x14ac:dyDescent="0.3">
      <c r="B10" s="248"/>
      <c r="C10" s="609" t="s">
        <v>544</v>
      </c>
      <c r="D10" s="610" t="s">
        <v>545</v>
      </c>
      <c r="E10" s="968" t="s">
        <v>546</v>
      </c>
      <c r="F10" s="969"/>
      <c r="G10" s="247"/>
    </row>
    <row r="11" spans="2:11" ht="203.25" customHeight="1" x14ac:dyDescent="0.3">
      <c r="B11" s="248"/>
      <c r="C11" s="611" t="s">
        <v>547</v>
      </c>
      <c r="D11" s="612" t="s">
        <v>548</v>
      </c>
      <c r="E11" s="946" t="s">
        <v>549</v>
      </c>
      <c r="F11" s="946"/>
      <c r="G11" s="247"/>
    </row>
    <row r="12" spans="2:11" ht="282.75" customHeight="1" x14ac:dyDescent="0.3">
      <c r="B12" s="248"/>
      <c r="C12" s="613" t="s">
        <v>550</v>
      </c>
      <c r="D12" s="612" t="s">
        <v>548</v>
      </c>
      <c r="E12" s="945" t="s">
        <v>551</v>
      </c>
      <c r="F12" s="945"/>
      <c r="G12" s="247"/>
    </row>
    <row r="13" spans="2:11" ht="294" customHeight="1" x14ac:dyDescent="0.3">
      <c r="B13" s="248"/>
      <c r="C13" s="611" t="s">
        <v>552</v>
      </c>
      <c r="D13" s="612" t="s">
        <v>553</v>
      </c>
      <c r="E13" s="944" t="s">
        <v>1340</v>
      </c>
      <c r="F13" s="945"/>
      <c r="G13" s="247"/>
    </row>
    <row r="14" spans="2:11" ht="168" x14ac:dyDescent="0.3">
      <c r="B14" s="248"/>
      <c r="C14" s="613" t="s">
        <v>554</v>
      </c>
      <c r="D14" s="612" t="s">
        <v>553</v>
      </c>
      <c r="E14" s="945" t="s">
        <v>555</v>
      </c>
      <c r="F14" s="945"/>
      <c r="G14" s="247"/>
    </row>
    <row r="15" spans="2:11" ht="126" customHeight="1" x14ac:dyDescent="0.3">
      <c r="B15" s="248"/>
      <c r="C15" s="611" t="s">
        <v>556</v>
      </c>
      <c r="D15" s="612" t="s">
        <v>557</v>
      </c>
      <c r="E15" s="946" t="s">
        <v>558</v>
      </c>
      <c r="F15" s="946"/>
      <c r="G15" s="247"/>
      <c r="K15" s="13" t="s">
        <v>559</v>
      </c>
    </row>
    <row r="16" spans="2:11" ht="135" customHeight="1" x14ac:dyDescent="0.3">
      <c r="B16" s="248"/>
      <c r="C16" s="611" t="s">
        <v>560</v>
      </c>
      <c r="D16" s="612" t="s">
        <v>548</v>
      </c>
      <c r="E16" s="949" t="s">
        <v>561</v>
      </c>
      <c r="F16" s="950"/>
      <c r="G16" s="247"/>
    </row>
    <row r="17" spans="2:7" ht="90.75" customHeight="1" x14ac:dyDescent="0.3">
      <c r="B17" s="248"/>
      <c r="C17" s="617" t="s">
        <v>1454</v>
      </c>
      <c r="D17" s="779" t="s">
        <v>553</v>
      </c>
      <c r="E17" s="958" t="s">
        <v>1456</v>
      </c>
      <c r="F17" s="959"/>
      <c r="G17" s="247"/>
    </row>
    <row r="18" spans="2:7" ht="123.75" customHeight="1" thickBot="1" x14ac:dyDescent="0.35">
      <c r="B18" s="248"/>
      <c r="C18" s="614" t="s">
        <v>562</v>
      </c>
      <c r="D18" s="615" t="s">
        <v>548</v>
      </c>
      <c r="E18" s="951" t="s">
        <v>563</v>
      </c>
      <c r="F18" s="952"/>
      <c r="G18" s="247"/>
    </row>
    <row r="19" spans="2:7" x14ac:dyDescent="0.3">
      <c r="B19" s="248"/>
      <c r="C19" s="225"/>
      <c r="D19" s="225"/>
      <c r="E19" s="225"/>
      <c r="F19" s="225"/>
      <c r="G19" s="247"/>
    </row>
    <row r="20" spans="2:7" x14ac:dyDescent="0.3">
      <c r="B20" s="248"/>
      <c r="C20" s="947" t="s">
        <v>564</v>
      </c>
      <c r="D20" s="947"/>
      <c r="E20" s="947"/>
      <c r="F20" s="947"/>
      <c r="G20" s="247"/>
    </row>
    <row r="21" spans="2:7" ht="14.5" thickBot="1" x14ac:dyDescent="0.35">
      <c r="B21" s="248"/>
      <c r="C21" s="948" t="s">
        <v>565</v>
      </c>
      <c r="D21" s="948"/>
      <c r="E21" s="948"/>
      <c r="F21" s="948"/>
      <c r="G21" s="247"/>
    </row>
    <row r="22" spans="2:7" ht="14.5" thickBot="1" x14ac:dyDescent="0.35">
      <c r="B22" s="248"/>
      <c r="C22" s="250" t="s">
        <v>541</v>
      </c>
      <c r="D22" s="251" t="s">
        <v>542</v>
      </c>
      <c r="E22" s="954" t="s">
        <v>543</v>
      </c>
      <c r="F22" s="955"/>
      <c r="G22" s="247"/>
    </row>
    <row r="23" spans="2:7" ht="78.75" customHeight="1" x14ac:dyDescent="0.3">
      <c r="B23" s="248"/>
      <c r="C23" s="609" t="s">
        <v>566</v>
      </c>
      <c r="D23" s="256" t="s">
        <v>567</v>
      </c>
      <c r="E23" s="956" t="s">
        <v>568</v>
      </c>
      <c r="F23" s="956"/>
      <c r="G23" s="247"/>
    </row>
    <row r="24" spans="2:7" ht="98.25" customHeight="1" x14ac:dyDescent="0.3">
      <c r="B24" s="248"/>
      <c r="C24" s="613" t="s">
        <v>569</v>
      </c>
      <c r="D24" s="616" t="s">
        <v>553</v>
      </c>
      <c r="E24" s="946" t="s">
        <v>570</v>
      </c>
      <c r="F24" s="946"/>
      <c r="G24" s="247"/>
    </row>
    <row r="25" spans="2:7" ht="301.5" customHeight="1" thickBot="1" x14ac:dyDescent="0.35">
      <c r="B25" s="248"/>
      <c r="C25" s="617" t="s">
        <v>571</v>
      </c>
      <c r="D25" s="257" t="s">
        <v>572</v>
      </c>
      <c r="E25" s="957" t="s">
        <v>573</v>
      </c>
      <c r="F25" s="957"/>
      <c r="G25" s="247"/>
    </row>
    <row r="26" spans="2:7" ht="162.75" customHeight="1" thickBot="1" x14ac:dyDescent="0.35">
      <c r="B26" s="248"/>
      <c r="C26" s="614" t="s">
        <v>574</v>
      </c>
      <c r="D26" s="258" t="s">
        <v>575</v>
      </c>
      <c r="E26" s="953" t="s">
        <v>576</v>
      </c>
      <c r="F26" s="953"/>
      <c r="G26" s="247"/>
    </row>
    <row r="27" spans="2:7" ht="162.75" customHeight="1" thickBot="1" x14ac:dyDescent="0.35">
      <c r="B27" s="248"/>
      <c r="C27" s="316" t="s">
        <v>577</v>
      </c>
      <c r="D27" s="258" t="s">
        <v>575</v>
      </c>
      <c r="E27" s="953" t="s">
        <v>578</v>
      </c>
      <c r="F27" s="953"/>
      <c r="G27" s="247"/>
    </row>
    <row r="28" spans="2:7" ht="141" customHeight="1" thickBot="1" x14ac:dyDescent="0.35">
      <c r="B28" s="248"/>
      <c r="C28" s="315" t="s">
        <v>1455</v>
      </c>
      <c r="D28" s="258" t="s">
        <v>572</v>
      </c>
      <c r="E28" s="953" t="s">
        <v>579</v>
      </c>
      <c r="F28" s="953"/>
      <c r="G28" s="247"/>
    </row>
    <row r="29" spans="2:7" ht="141" customHeight="1" thickBot="1" x14ac:dyDescent="0.35">
      <c r="B29" s="248"/>
      <c r="C29" s="317" t="s">
        <v>580</v>
      </c>
      <c r="D29" s="258" t="s">
        <v>553</v>
      </c>
      <c r="E29" s="942" t="s">
        <v>581</v>
      </c>
      <c r="F29" s="943"/>
      <c r="G29" s="247"/>
    </row>
    <row r="30" spans="2:7" x14ac:dyDescent="0.3">
      <c r="B30" s="248"/>
      <c r="C30" s="225"/>
      <c r="D30" s="225"/>
      <c r="E30" s="225"/>
      <c r="F30" s="225"/>
      <c r="G30" s="247"/>
    </row>
    <row r="31" spans="2:7" x14ac:dyDescent="0.3">
      <c r="B31" s="248"/>
      <c r="C31" s="225"/>
      <c r="D31" s="225"/>
      <c r="E31" s="225"/>
      <c r="F31" s="225"/>
      <c r="G31" s="247"/>
    </row>
    <row r="32" spans="2:7" ht="31.5" customHeight="1" x14ac:dyDescent="0.3">
      <c r="B32" s="248"/>
      <c r="C32" s="977" t="s">
        <v>582</v>
      </c>
      <c r="D32" s="977"/>
      <c r="E32" s="977"/>
      <c r="F32" s="977"/>
      <c r="G32" s="247"/>
    </row>
    <row r="33" spans="2:7" ht="14.5" thickBot="1" x14ac:dyDescent="0.35">
      <c r="B33" s="248"/>
      <c r="C33" s="967" t="s">
        <v>583</v>
      </c>
      <c r="D33" s="967"/>
      <c r="E33" s="972"/>
      <c r="F33" s="972"/>
      <c r="G33" s="247"/>
    </row>
    <row r="34" spans="2:7" ht="161.25" customHeight="1" thickBot="1" x14ac:dyDescent="0.35">
      <c r="B34" s="248"/>
      <c r="C34" s="964" t="s">
        <v>584</v>
      </c>
      <c r="D34" s="965"/>
      <c r="E34" s="965"/>
      <c r="F34" s="966"/>
      <c r="G34" s="247"/>
    </row>
    <row r="35" spans="2:7" x14ac:dyDescent="0.3">
      <c r="B35" s="248"/>
      <c r="C35" s="225"/>
      <c r="D35" s="225"/>
      <c r="E35" s="225"/>
      <c r="F35" s="225"/>
      <c r="G35" s="247"/>
    </row>
    <row r="36" spans="2:7" x14ac:dyDescent="0.3">
      <c r="B36" s="248"/>
      <c r="C36" s="225"/>
      <c r="D36" s="225"/>
      <c r="E36" s="225"/>
      <c r="F36" s="225"/>
      <c r="G36" s="247"/>
    </row>
    <row r="37" spans="2:7" x14ac:dyDescent="0.3">
      <c r="B37" s="248"/>
      <c r="C37" s="225"/>
      <c r="D37" s="225"/>
      <c r="E37" s="225"/>
      <c r="F37" s="225"/>
      <c r="G37" s="247"/>
    </row>
    <row r="38" spans="2:7" ht="14.5" thickBot="1" x14ac:dyDescent="0.35">
      <c r="B38" s="252"/>
      <c r="C38" s="230"/>
      <c r="D38" s="230"/>
      <c r="E38" s="230"/>
      <c r="F38" s="230"/>
      <c r="G38" s="253"/>
    </row>
    <row r="39" spans="2:7" x14ac:dyDescent="0.3">
      <c r="B39" s="541"/>
      <c r="C39" s="541"/>
      <c r="D39" s="541"/>
      <c r="E39" s="541"/>
      <c r="F39" s="541"/>
      <c r="G39" s="541"/>
    </row>
    <row r="40" spans="2:7" x14ac:dyDescent="0.3">
      <c r="B40" s="541"/>
      <c r="C40" s="541"/>
      <c r="D40" s="541"/>
      <c r="E40" s="541"/>
      <c r="F40" s="541"/>
      <c r="G40" s="541"/>
    </row>
    <row r="41" spans="2:7" x14ac:dyDescent="0.3">
      <c r="B41" s="541"/>
      <c r="C41" s="541"/>
      <c r="D41" s="541"/>
      <c r="E41" s="541"/>
      <c r="F41" s="541"/>
      <c r="G41" s="541"/>
    </row>
    <row r="42" spans="2:7" x14ac:dyDescent="0.3">
      <c r="B42" s="541"/>
      <c r="C42" s="541"/>
      <c r="D42" s="541"/>
      <c r="E42" s="541"/>
      <c r="F42" s="541"/>
      <c r="G42" s="541"/>
    </row>
    <row r="43" spans="2:7" x14ac:dyDescent="0.3">
      <c r="B43" s="541"/>
      <c r="C43" s="541"/>
      <c r="D43" s="541"/>
      <c r="E43" s="541"/>
      <c r="F43" s="541"/>
      <c r="G43" s="541"/>
    </row>
    <row r="44" spans="2:7" x14ac:dyDescent="0.3">
      <c r="B44" s="541"/>
      <c r="C44" s="541"/>
      <c r="D44" s="541"/>
      <c r="E44" s="541"/>
      <c r="F44" s="541"/>
      <c r="G44" s="541"/>
    </row>
    <row r="45" spans="2:7" x14ac:dyDescent="0.3">
      <c r="B45" s="541"/>
      <c r="C45" s="963"/>
      <c r="D45" s="963"/>
      <c r="E45" s="540"/>
      <c r="F45" s="541"/>
      <c r="G45" s="541"/>
    </row>
    <row r="46" spans="2:7" x14ac:dyDescent="0.3">
      <c r="B46" s="541"/>
      <c r="C46" s="963"/>
      <c r="D46" s="963"/>
      <c r="E46" s="540"/>
      <c r="F46" s="541"/>
      <c r="G46" s="541"/>
    </row>
    <row r="47" spans="2:7" x14ac:dyDescent="0.3">
      <c r="B47" s="541"/>
      <c r="C47" s="971"/>
      <c r="D47" s="971"/>
      <c r="E47" s="971"/>
      <c r="F47" s="971"/>
      <c r="G47" s="541"/>
    </row>
    <row r="48" spans="2:7" x14ac:dyDescent="0.3">
      <c r="B48" s="541"/>
      <c r="C48" s="971"/>
      <c r="D48" s="971"/>
      <c r="E48" s="970"/>
      <c r="F48" s="970"/>
      <c r="G48" s="541"/>
    </row>
    <row r="49" spans="2:7" x14ac:dyDescent="0.3">
      <c r="B49" s="541"/>
      <c r="C49" s="971"/>
      <c r="D49" s="971"/>
      <c r="E49" s="978"/>
      <c r="F49" s="978"/>
      <c r="G49" s="541"/>
    </row>
    <row r="50" spans="2:7" x14ac:dyDescent="0.3">
      <c r="B50" s="541"/>
      <c r="C50" s="541"/>
      <c r="D50" s="541"/>
      <c r="E50" s="541"/>
      <c r="F50" s="541"/>
      <c r="G50" s="541"/>
    </row>
    <row r="51" spans="2:7" x14ac:dyDescent="0.3">
      <c r="B51" s="541"/>
      <c r="C51" s="963"/>
      <c r="D51" s="963"/>
      <c r="E51" s="540"/>
      <c r="F51" s="541"/>
      <c r="G51" s="541"/>
    </row>
    <row r="52" spans="2:7" x14ac:dyDescent="0.3">
      <c r="B52" s="541"/>
      <c r="C52" s="963"/>
      <c r="D52" s="963"/>
      <c r="E52" s="979"/>
      <c r="F52" s="979"/>
      <c r="G52" s="541"/>
    </row>
    <row r="53" spans="2:7" x14ac:dyDescent="0.3">
      <c r="B53" s="541"/>
      <c r="C53" s="540"/>
      <c r="D53" s="540"/>
      <c r="E53" s="540"/>
      <c r="F53" s="540"/>
      <c r="G53" s="541"/>
    </row>
    <row r="54" spans="2:7" x14ac:dyDescent="0.3">
      <c r="B54" s="541"/>
      <c r="C54" s="971"/>
      <c r="D54" s="971"/>
      <c r="E54" s="970"/>
      <c r="F54" s="970"/>
      <c r="G54" s="541"/>
    </row>
    <row r="55" spans="2:7" x14ac:dyDescent="0.3">
      <c r="B55" s="541"/>
      <c r="C55" s="971"/>
      <c r="D55" s="971"/>
      <c r="E55" s="978"/>
      <c r="F55" s="978"/>
      <c r="G55" s="541"/>
    </row>
    <row r="56" spans="2:7" x14ac:dyDescent="0.3">
      <c r="B56" s="541"/>
      <c r="C56" s="541"/>
      <c r="D56" s="541"/>
      <c r="E56" s="541"/>
      <c r="F56" s="541"/>
      <c r="G56" s="541"/>
    </row>
    <row r="57" spans="2:7" x14ac:dyDescent="0.3">
      <c r="B57" s="541"/>
      <c r="C57" s="963"/>
      <c r="D57" s="963"/>
      <c r="E57" s="541"/>
      <c r="F57" s="541"/>
      <c r="G57" s="541"/>
    </row>
    <row r="58" spans="2:7" x14ac:dyDescent="0.3">
      <c r="B58" s="541"/>
      <c r="C58" s="963"/>
      <c r="D58" s="963"/>
      <c r="E58" s="978"/>
      <c r="F58" s="978"/>
      <c r="G58" s="541"/>
    </row>
    <row r="59" spans="2:7" x14ac:dyDescent="0.3">
      <c r="B59" s="541"/>
      <c r="C59" s="971"/>
      <c r="D59" s="971"/>
      <c r="E59" s="978"/>
      <c r="F59" s="978"/>
      <c r="G59" s="541"/>
    </row>
    <row r="60" spans="2:7" x14ac:dyDescent="0.3">
      <c r="B60" s="541"/>
      <c r="C60" s="254"/>
      <c r="D60" s="541"/>
      <c r="E60" s="254"/>
      <c r="F60" s="541"/>
      <c r="G60" s="541"/>
    </row>
    <row r="61" spans="2:7" x14ac:dyDescent="0.3">
      <c r="B61" s="541"/>
      <c r="C61" s="254"/>
      <c r="D61" s="254"/>
      <c r="E61" s="254"/>
      <c r="F61" s="254"/>
      <c r="G61" s="255"/>
    </row>
  </sheetData>
  <mergeCells count="48">
    <mergeCell ref="C59:D59"/>
    <mergeCell ref="E59:F59"/>
    <mergeCell ref="C55:D55"/>
    <mergeCell ref="E55:F55"/>
    <mergeCell ref="C45:D45"/>
    <mergeCell ref="C46:D46"/>
    <mergeCell ref="E49:F49"/>
    <mergeCell ref="C51:D51"/>
    <mergeCell ref="C47:F47"/>
    <mergeCell ref="C48:D48"/>
    <mergeCell ref="C58:D58"/>
    <mergeCell ref="E58:F58"/>
    <mergeCell ref="C52:D52"/>
    <mergeCell ref="E52:F52"/>
    <mergeCell ref="C54:D54"/>
    <mergeCell ref="E54:F54"/>
    <mergeCell ref="C3:F3"/>
    <mergeCell ref="C57:D57"/>
    <mergeCell ref="C34:F34"/>
    <mergeCell ref="C33:D33"/>
    <mergeCell ref="E10:F10"/>
    <mergeCell ref="E11:F11"/>
    <mergeCell ref="E12:F12"/>
    <mergeCell ref="E48:F48"/>
    <mergeCell ref="C49:D49"/>
    <mergeCell ref="E33:F33"/>
    <mergeCell ref="B4:F4"/>
    <mergeCell ref="C5:F5"/>
    <mergeCell ref="C7:D7"/>
    <mergeCell ref="C8:F8"/>
    <mergeCell ref="E9:F9"/>
    <mergeCell ref="C32:F32"/>
    <mergeCell ref="E29:F29"/>
    <mergeCell ref="E13:F13"/>
    <mergeCell ref="E14:F14"/>
    <mergeCell ref="E15:F15"/>
    <mergeCell ref="C20:F20"/>
    <mergeCell ref="C21:F21"/>
    <mergeCell ref="E16:F16"/>
    <mergeCell ref="E18:F18"/>
    <mergeCell ref="E28:F28"/>
    <mergeCell ref="E22:F22"/>
    <mergeCell ref="E23:F23"/>
    <mergeCell ref="E24:F24"/>
    <mergeCell ref="E25:F25"/>
    <mergeCell ref="E26:F26"/>
    <mergeCell ref="E27:F27"/>
    <mergeCell ref="E17:F17"/>
  </mergeCells>
  <dataValidations disablePrompts="1" count="2">
    <dataValidation type="whole" allowBlank="1" showInputMessage="1" showErrorMessage="1" sqref="E54 E48" xr:uid="{00000000-0002-0000-0300-000000000000}">
      <formula1>-999999999</formula1>
      <formula2>999999999</formula2>
    </dataValidation>
    <dataValidation type="list" allowBlank="1" showInputMessage="1" showErrorMessage="1" sqref="E58" xr:uid="{00000000-0002-0000-0300-000001000000}">
      <formula1>$K$65:$K$66</formula1>
    </dataValidation>
  </dataValidations>
  <pageMargins left="0.25" right="0.25" top="0.17" bottom="0.17" header="0.17" footer="0.17"/>
  <pageSetup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Y132"/>
  <sheetViews>
    <sheetView topLeftCell="A61" zoomScale="55" zoomScaleNormal="55" workbookViewId="0">
      <selection activeCell="H21" sqref="H21"/>
    </sheetView>
  </sheetViews>
  <sheetFormatPr defaultColWidth="9.1796875" defaultRowHeight="14" x14ac:dyDescent="0.3"/>
  <cols>
    <col min="1" max="1" width="2.1796875" style="13" customWidth="1"/>
    <col min="2" max="2" width="2.26953125" style="13" customWidth="1"/>
    <col min="3" max="3" width="22.54296875" style="12" customWidth="1"/>
    <col min="4" max="4" width="15.54296875" style="13" customWidth="1"/>
    <col min="5" max="5" width="15" style="13" customWidth="1"/>
    <col min="6" max="7" width="12.54296875" style="13" customWidth="1"/>
    <col min="8" max="8" width="140.54296875" style="13" customWidth="1"/>
    <col min="9" max="9" width="13.81640625" style="13" customWidth="1"/>
    <col min="10" max="10" width="2.7265625" style="13" customWidth="1"/>
    <col min="11" max="11" width="2" style="13" customWidth="1"/>
    <col min="12" max="16384" width="9.1796875" style="13"/>
  </cols>
  <sheetData>
    <row r="1" spans="2:51" ht="14.5" thickBot="1" x14ac:dyDescent="0.35">
      <c r="H1" s="19"/>
      <c r="I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2:51" ht="14.5" thickBot="1" x14ac:dyDescent="0.35">
      <c r="B2" s="205"/>
      <c r="C2" s="206"/>
      <c r="D2" s="50"/>
      <c r="E2" s="50"/>
      <c r="F2" s="50"/>
      <c r="G2" s="50"/>
      <c r="H2" s="189"/>
      <c r="I2" s="189"/>
      <c r="J2" s="51"/>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2:51" ht="14.5" thickBot="1" x14ac:dyDescent="0.35">
      <c r="B3" s="73"/>
      <c r="C3" s="960" t="s">
        <v>585</v>
      </c>
      <c r="D3" s="961"/>
      <c r="E3" s="961"/>
      <c r="F3" s="961"/>
      <c r="G3" s="961"/>
      <c r="H3" s="961"/>
      <c r="I3" s="962"/>
      <c r="J3" s="207"/>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2:51" ht="15" customHeight="1" x14ac:dyDescent="0.3">
      <c r="B4" s="208"/>
      <c r="C4" s="996" t="s">
        <v>586</v>
      </c>
      <c r="D4" s="996"/>
      <c r="E4" s="996"/>
      <c r="F4" s="996"/>
      <c r="G4" s="996"/>
      <c r="H4" s="996"/>
      <c r="I4" s="996"/>
      <c r="J4" s="53"/>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5" spans="2:51" ht="15" customHeight="1" x14ac:dyDescent="0.3">
      <c r="B5" s="208"/>
      <c r="C5" s="545"/>
      <c r="D5" s="545"/>
      <c r="E5" s="545"/>
      <c r="F5" s="545"/>
      <c r="G5" s="545"/>
      <c r="H5" s="545"/>
      <c r="I5" s="545"/>
      <c r="J5" s="53"/>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row>
    <row r="6" spans="2:51" x14ac:dyDescent="0.3">
      <c r="B6" s="208"/>
      <c r="C6" s="209"/>
      <c r="D6" s="52"/>
      <c r="E6" s="52"/>
      <c r="F6" s="52"/>
      <c r="G6" s="52"/>
      <c r="H6" s="190"/>
      <c r="I6" s="190"/>
      <c r="J6" s="53"/>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2:51" ht="15.75" customHeight="1" thickBot="1" x14ac:dyDescent="0.35">
      <c r="B7" s="208"/>
      <c r="C7" s="209"/>
      <c r="D7" s="993" t="s">
        <v>587</v>
      </c>
      <c r="E7" s="993"/>
      <c r="F7" s="993" t="s">
        <v>588</v>
      </c>
      <c r="G7" s="993"/>
      <c r="H7" s="210" t="s">
        <v>589</v>
      </c>
      <c r="I7" s="210" t="s">
        <v>590</v>
      </c>
      <c r="J7" s="53"/>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2:51" s="12" customFormat="1" ht="285.75" customHeight="1" thickBot="1" x14ac:dyDescent="0.35">
      <c r="B8" s="211"/>
      <c r="C8" s="212" t="s">
        <v>591</v>
      </c>
      <c r="D8" s="998" t="s">
        <v>592</v>
      </c>
      <c r="E8" s="998"/>
      <c r="F8" s="987" t="s">
        <v>593</v>
      </c>
      <c r="G8" s="987"/>
      <c r="H8" s="765" t="s">
        <v>1347</v>
      </c>
      <c r="I8" s="213" t="s">
        <v>27</v>
      </c>
      <c r="J8" s="214"/>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row>
    <row r="9" spans="2:51" s="12" customFormat="1" ht="409.6" customHeight="1" thickBot="1" x14ac:dyDescent="0.35">
      <c r="B9" s="211"/>
      <c r="C9" s="212"/>
      <c r="D9" s="998" t="s">
        <v>594</v>
      </c>
      <c r="E9" s="998"/>
      <c r="F9" s="987"/>
      <c r="G9" s="987"/>
      <c r="H9" s="765" t="s">
        <v>1349</v>
      </c>
      <c r="I9" s="213" t="s">
        <v>595</v>
      </c>
      <c r="J9" s="214"/>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row>
    <row r="10" spans="2:51" s="12" customFormat="1" ht="279.75" customHeight="1" thickBot="1" x14ac:dyDescent="0.35">
      <c r="B10" s="211"/>
      <c r="C10" s="212"/>
      <c r="D10" s="1004" t="s">
        <v>596</v>
      </c>
      <c r="E10" s="1004"/>
      <c r="F10" s="987"/>
      <c r="G10" s="987"/>
      <c r="H10" s="301" t="s">
        <v>597</v>
      </c>
      <c r="I10" s="213" t="s">
        <v>27</v>
      </c>
      <c r="J10" s="214"/>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row>
    <row r="11" spans="2:51" s="12" customFormat="1" ht="165.75" customHeight="1" thickBot="1" x14ac:dyDescent="0.35">
      <c r="B11" s="211"/>
      <c r="C11" s="212"/>
      <c r="D11" s="986" t="s">
        <v>598</v>
      </c>
      <c r="E11" s="986"/>
      <c r="F11" s="1005" t="s">
        <v>599</v>
      </c>
      <c r="G11" s="1005"/>
      <c r="H11" s="301" t="s">
        <v>600</v>
      </c>
      <c r="I11" s="213" t="s">
        <v>27</v>
      </c>
      <c r="J11" s="214"/>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2:51" s="12" customFormat="1" ht="110.25" customHeight="1" thickBot="1" x14ac:dyDescent="0.35">
      <c r="B12" s="211"/>
      <c r="C12" s="212"/>
      <c r="D12" s="986" t="s">
        <v>601</v>
      </c>
      <c r="E12" s="986"/>
      <c r="F12" s="987" t="s">
        <v>602</v>
      </c>
      <c r="G12" s="987"/>
      <c r="H12" s="301" t="s">
        <v>603</v>
      </c>
      <c r="I12" s="213" t="s">
        <v>27</v>
      </c>
      <c r="J12" s="214"/>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2:51" s="12" customFormat="1" ht="198" customHeight="1" thickBot="1" x14ac:dyDescent="0.35">
      <c r="B13" s="211"/>
      <c r="C13" s="212"/>
      <c r="D13" s="986" t="s">
        <v>604</v>
      </c>
      <c r="E13" s="986"/>
      <c r="F13" s="987" t="s">
        <v>605</v>
      </c>
      <c r="G13" s="987"/>
      <c r="H13" s="766" t="s">
        <v>1350</v>
      </c>
      <c r="I13" s="213" t="s">
        <v>27</v>
      </c>
      <c r="J13" s="214"/>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2:51" s="12" customFormat="1" ht="191.25" customHeight="1" thickBot="1" x14ac:dyDescent="0.35">
      <c r="B14" s="211"/>
      <c r="C14" s="212"/>
      <c r="D14" s="992" t="s">
        <v>606</v>
      </c>
      <c r="E14" s="992"/>
      <c r="F14" s="987"/>
      <c r="G14" s="987"/>
      <c r="H14" s="302" t="s">
        <v>607</v>
      </c>
      <c r="I14" s="213" t="s">
        <v>27</v>
      </c>
      <c r="J14" s="214"/>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2:51" s="12" customFormat="1" ht="234.75" customHeight="1" thickBot="1" x14ac:dyDescent="0.35">
      <c r="B15" s="211"/>
      <c r="C15" s="212"/>
      <c r="D15" s="986" t="s">
        <v>608</v>
      </c>
      <c r="E15" s="986"/>
      <c r="F15" s="986" t="s">
        <v>609</v>
      </c>
      <c r="G15" s="986"/>
      <c r="H15" s="303" t="s">
        <v>610</v>
      </c>
      <c r="I15" s="770" t="s">
        <v>629</v>
      </c>
      <c r="J15" s="214"/>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2:51" s="12" customFormat="1" ht="324.75" customHeight="1" thickBot="1" x14ac:dyDescent="0.35">
      <c r="B16" s="211"/>
      <c r="C16" s="212"/>
      <c r="D16" s="986" t="s">
        <v>611</v>
      </c>
      <c r="E16" s="986"/>
      <c r="F16" s="986" t="s">
        <v>612</v>
      </c>
      <c r="G16" s="986"/>
      <c r="H16" s="774" t="s">
        <v>1450</v>
      </c>
      <c r="I16" s="770" t="s">
        <v>629</v>
      </c>
      <c r="J16" s="214"/>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row>
    <row r="17" spans="2:51" s="12" customFormat="1" ht="190.5" customHeight="1" thickBot="1" x14ac:dyDescent="0.35">
      <c r="B17" s="211"/>
      <c r="C17" s="212"/>
      <c r="D17" s="986" t="s">
        <v>613</v>
      </c>
      <c r="E17" s="986"/>
      <c r="F17" s="987" t="s">
        <v>614</v>
      </c>
      <c r="G17" s="987"/>
      <c r="H17" s="302" t="s">
        <v>615</v>
      </c>
      <c r="I17" s="213" t="s">
        <v>27</v>
      </c>
      <c r="J17" s="214"/>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row>
    <row r="18" spans="2:51" s="12" customFormat="1" ht="340.5" customHeight="1" thickBot="1" x14ac:dyDescent="0.35">
      <c r="B18" s="211"/>
      <c r="C18" s="212"/>
      <c r="D18" s="992" t="s">
        <v>616</v>
      </c>
      <c r="E18" s="992"/>
      <c r="F18" s="987" t="s">
        <v>617</v>
      </c>
      <c r="G18" s="987"/>
      <c r="H18" s="304" t="s">
        <v>618</v>
      </c>
      <c r="I18" s="213" t="s">
        <v>27</v>
      </c>
      <c r="J18" s="214"/>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2:51" s="12" customFormat="1" ht="193.5" customHeight="1" thickBot="1" x14ac:dyDescent="0.35">
      <c r="B19" s="211"/>
      <c r="C19" s="212"/>
      <c r="D19" s="986" t="s">
        <v>619</v>
      </c>
      <c r="E19" s="986"/>
      <c r="F19" s="987" t="s">
        <v>620</v>
      </c>
      <c r="G19" s="987"/>
      <c r="H19" s="775" t="s">
        <v>1452</v>
      </c>
      <c r="I19" s="770" t="s">
        <v>629</v>
      </c>
      <c r="J19" s="214"/>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2:51" s="12" customFormat="1" ht="192" customHeight="1" thickBot="1" x14ac:dyDescent="0.35">
      <c r="B20" s="211"/>
      <c r="C20" s="212"/>
      <c r="D20" s="986" t="s">
        <v>621</v>
      </c>
      <c r="E20" s="986"/>
      <c r="F20" s="988" t="s">
        <v>622</v>
      </c>
      <c r="G20" s="989"/>
      <c r="H20" s="766" t="s">
        <v>1451</v>
      </c>
      <c r="I20" s="213" t="s">
        <v>27</v>
      </c>
      <c r="J20" s="214"/>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2:51" s="12" customFormat="1" ht="284.25" customHeight="1" thickBot="1" x14ac:dyDescent="0.35">
      <c r="B21" s="211"/>
      <c r="C21" s="212"/>
      <c r="D21" s="986" t="s">
        <v>623</v>
      </c>
      <c r="E21" s="986"/>
      <c r="F21" s="990"/>
      <c r="G21" s="991"/>
      <c r="H21" s="766" t="s">
        <v>1453</v>
      </c>
      <c r="I21" s="213" t="s">
        <v>27</v>
      </c>
      <c r="J21" s="214"/>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row>
    <row r="22" spans="2:51" s="12" customFormat="1" ht="18.75" customHeight="1" thickBot="1" x14ac:dyDescent="0.35">
      <c r="B22" s="211"/>
      <c r="C22" s="215"/>
      <c r="D22" s="216"/>
      <c r="E22" s="216"/>
      <c r="F22" s="216"/>
      <c r="G22" s="216"/>
      <c r="H22" s="217" t="s">
        <v>624</v>
      </c>
      <c r="I22" s="218" t="s">
        <v>27</v>
      </c>
      <c r="J22" s="214"/>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row>
    <row r="23" spans="2:51" s="12" customFormat="1" ht="18.75" customHeight="1" x14ac:dyDescent="0.3">
      <c r="B23" s="211"/>
      <c r="C23" s="215"/>
      <c r="D23" s="216"/>
      <c r="E23" s="216"/>
      <c r="F23" s="216"/>
      <c r="G23" s="216"/>
      <c r="H23" s="219"/>
      <c r="I23" s="209"/>
      <c r="J23" s="214"/>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2:51" s="12" customFormat="1" ht="14.5" thickBot="1" x14ac:dyDescent="0.35">
      <c r="B24" s="211"/>
      <c r="C24" s="215"/>
      <c r="D24" s="1003" t="s">
        <v>625</v>
      </c>
      <c r="E24" s="1003"/>
      <c r="F24" s="1003"/>
      <c r="G24" s="1003"/>
      <c r="H24" s="1003"/>
      <c r="I24" s="1003"/>
      <c r="J24" s="214"/>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2:51" s="12" customFormat="1" ht="14.5" thickBot="1" x14ac:dyDescent="0.35">
      <c r="B25" s="211"/>
      <c r="C25" s="215"/>
      <c r="D25" s="78" t="s">
        <v>86</v>
      </c>
      <c r="E25" s="999" t="s">
        <v>626</v>
      </c>
      <c r="F25" s="1000"/>
      <c r="G25" s="1000"/>
      <c r="H25" s="1001"/>
      <c r="I25" s="216"/>
      <c r="J25" s="214"/>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2:51" s="12" customFormat="1" ht="14.5" thickBot="1" x14ac:dyDescent="0.35">
      <c r="B26" s="211"/>
      <c r="C26" s="215"/>
      <c r="D26" s="78" t="s">
        <v>89</v>
      </c>
      <c r="E26" s="1002" t="s">
        <v>111</v>
      </c>
      <c r="F26" s="1000"/>
      <c r="G26" s="1000"/>
      <c r="H26" s="1001"/>
      <c r="I26" s="216"/>
      <c r="J26" s="214"/>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2:51" s="12" customFormat="1" ht="13.5" customHeight="1" x14ac:dyDescent="0.3">
      <c r="B27" s="211"/>
      <c r="C27" s="215"/>
      <c r="D27" s="216"/>
      <c r="E27" s="216"/>
      <c r="F27" s="216"/>
      <c r="G27" s="216"/>
      <c r="H27" s="216"/>
      <c r="I27" s="216"/>
      <c r="J27" s="214"/>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2:51" s="12" customFormat="1" ht="30.75" customHeight="1" thickBot="1" x14ac:dyDescent="0.35">
      <c r="B28" s="211"/>
      <c r="C28" s="997" t="s">
        <v>627</v>
      </c>
      <c r="D28" s="997"/>
      <c r="E28" s="997"/>
      <c r="F28" s="997"/>
      <c r="G28" s="997"/>
      <c r="H28" s="997"/>
      <c r="I28" s="190"/>
      <c r="J28" s="214"/>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2:51" s="148" customFormat="1" ht="82.5" customHeight="1" x14ac:dyDescent="0.3">
      <c r="B29" s="220"/>
      <c r="C29" s="221"/>
      <c r="D29" s="1006" t="s">
        <v>1348</v>
      </c>
      <c r="E29" s="1007"/>
      <c r="F29" s="1007"/>
      <c r="G29" s="1007"/>
      <c r="H29" s="1007"/>
      <c r="I29" s="1008"/>
      <c r="J29" s="222"/>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2:51" s="148" customFormat="1" ht="82.5" customHeight="1" x14ac:dyDescent="0.3">
      <c r="B30" s="220"/>
      <c r="C30" s="221"/>
      <c r="D30" s="1009"/>
      <c r="E30" s="1010"/>
      <c r="F30" s="1010"/>
      <c r="G30" s="1010"/>
      <c r="H30" s="1010"/>
      <c r="I30" s="1011"/>
      <c r="J30" s="222"/>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2:51" s="148" customFormat="1" ht="82.5" customHeight="1" x14ac:dyDescent="0.3">
      <c r="B31" s="220"/>
      <c r="C31" s="221"/>
      <c r="D31" s="1009"/>
      <c r="E31" s="1010"/>
      <c r="F31" s="1010"/>
      <c r="G31" s="1010"/>
      <c r="H31" s="1010"/>
      <c r="I31" s="1011"/>
      <c r="J31" s="222"/>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2:51" s="148" customFormat="1" ht="82.5" customHeight="1" thickBot="1" x14ac:dyDescent="0.35">
      <c r="B32" s="220"/>
      <c r="C32" s="221"/>
      <c r="D32" s="1012"/>
      <c r="E32" s="1013"/>
      <c r="F32" s="1013"/>
      <c r="G32" s="1013"/>
      <c r="H32" s="1013"/>
      <c r="I32" s="1014"/>
      <c r="J32" s="222"/>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2:51" s="12" customFormat="1" x14ac:dyDescent="0.3">
      <c r="B33" s="211"/>
      <c r="C33" s="542"/>
      <c r="D33" s="542"/>
      <c r="E33" s="542"/>
      <c r="F33" s="542"/>
      <c r="G33" s="542"/>
      <c r="H33" s="190"/>
      <c r="I33" s="190"/>
      <c r="J33" s="21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2:51" ht="15.75" customHeight="1" thickBot="1" x14ac:dyDescent="0.35">
      <c r="B34" s="211"/>
      <c r="C34" s="209"/>
      <c r="D34" s="993" t="s">
        <v>587</v>
      </c>
      <c r="E34" s="993"/>
      <c r="F34" s="993" t="s">
        <v>588</v>
      </c>
      <c r="G34" s="993"/>
      <c r="H34" s="210" t="s">
        <v>589</v>
      </c>
      <c r="I34" s="210" t="s">
        <v>590</v>
      </c>
      <c r="J34" s="214"/>
      <c r="K34" s="14"/>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2:51" ht="285.75" customHeight="1" thickBot="1" x14ac:dyDescent="0.35">
      <c r="B35" s="211"/>
      <c r="C35" s="212" t="s">
        <v>628</v>
      </c>
      <c r="D35" s="980" t="str">
        <f>+D8</f>
        <v>Output 1.1.1. Parishes in targeted cantons trained in climate change threats and adaptation measures which reduce vulnerability, in particular related to food security</v>
      </c>
      <c r="E35" s="981"/>
      <c r="F35" s="982" t="str">
        <f>+F8</f>
        <v>All communities participated in initial training sessions</v>
      </c>
      <c r="G35" s="983"/>
      <c r="H35" s="204" t="str">
        <f>+H8</f>
        <v xml:space="preserve">As part of the implementation of adaptation measures several practical-theoretical workshops on climate change, food security, gender, as well as on the specific issues of the measures were offered to the different communities: 
Strengthening community irrigation in drought areas, provision of water irrigation, development of home gardens, management of organic fertilizers for soil moisture retention, promotion of forest pastures services in order to create microclimates, smaller animals breeding as a source of protein, drinking water supply improvement for human consumption, water sources protection and seeds with drought resistance attributes.
In order to accomplish these workshops with the communities a training plan was developed. This plan provide guides have a special emphasis in adult education techniques linking as well with the transversal axes of the project in topics such as: climate change, food security and gender. There is a training plan for Pichincha as well, where all the adaptation measures are focus on community water irrigation for their lands. During 2016, a total of 255 workshops were held as a result of it 9.069 people were trained, it is worth to mention that 56% were women. In Jubones another plan has been developed that addresses all the adaptation measures typologies previously mentioned. To date, 350 workshops have been held in Jubones watershed, involving 12.091 people. Besides de la large-scale awareness campaign with radio messages on climate change, food security and gender that was implemented in the Jubones watershed in 2014. It reached a total of 19.319 people.
Implementation of the activities was done with active participation of the families involved in the project either under the cooperative work modality "mingas" or through visits and technical assistance on the farm. All opportunities are used to highlight the purpose of the project and raise awareness about the risks of climate change on food security and rural livelihoods.
During 2016, a number of 209 people attended several events that were held on the early warning system and the conceptual basis of climate change and food security. For 2017 the project will continue with the execution of workshops foreseen in the capacity building plan.
</v>
      </c>
      <c r="I35" s="191" t="s">
        <v>27</v>
      </c>
      <c r="J35" s="214"/>
      <c r="K35" s="14"/>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2:51" ht="409.5" customHeight="1" thickBot="1" x14ac:dyDescent="0.35">
      <c r="B36" s="211"/>
      <c r="C36" s="212"/>
      <c r="D36" s="980" t="str">
        <f>+D9</f>
        <v>Output 1.1.2. Targeted parishes participate in adaptation and risk reduction awareness activities</v>
      </c>
      <c r="E36" s="981"/>
      <c r="F36" s="994"/>
      <c r="G36" s="995"/>
      <c r="H36" s="204" t="str">
        <f>+H9</f>
        <v xml:space="preserve">A guide and strategy for capacity development have been developed (it´s includes training modules on climate change, food security and gender). Furthermore, specific workshops on these topics have been held within the communities, local authorities and project partners. A large-scale awareness campaign with radio messages on climate change, food security and gender was implemented in Jubones watershed.
As part of the adaptation measures execution, concrete actions are already under implementation. Training processes that adapt the "Field School (ECA)" modality have been developed to increase knowledge on the risks of climate change.
Raising awareness activities on the importance of climate change including local fairs for rural women were made. High schools talks and seed exchange fairs were held with the purpose to exchange experiences with the local population that did not participate in the adaptation measure. Thus, the fairs raised awareness among the majority of rural population on the importance of preserving seeds when faced drought. 
In Pichincha, 42 capacity-building workshops have been developed. The facilitators specialized in climate change, food security and gender under the form of climate forums with the participation of the community. In addition, 5 rural women fairs have been held. These fairs help local women to sell their products and to show the importance of food security and its linkage with climate change.
In Jubones, 238 start-up workshops were held, local capacity-building workshops and adaptation training workshops were developed as well. These workshops are developed with the parish authorities and replicated at the community level. Also 7 fairs with the purpose of exchanging experiences with the population that did not participate in the adaptation measure were done. 
As part of the raising awareness activities for risk reduction a recreational activity was developed and use it at the fairs for Jubones and Pichincha. A learning game for adults was developed with the aim to increase the knowledge of climate change, food security and gender. The issues addressed by the game are: impacts of climate change and climate change. Regarding gender equity, there is a question that says: What happens when gender equity is not applied?, What to do to strengthen gender equity? In terms of food security: what risks are the lack of food security?, What to do in the face of food insecurity.
</v>
      </c>
      <c r="I36" s="191" t="s">
        <v>27</v>
      </c>
      <c r="J36" s="214"/>
      <c r="K36" s="14"/>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2:51" ht="289.5" customHeight="1" thickBot="1" x14ac:dyDescent="0.35">
      <c r="B37" s="211"/>
      <c r="C37" s="212"/>
      <c r="D37" s="980" t="str">
        <f t="shared" ref="D37:D48" si="0">+D10</f>
        <v>Output 1.1.3. Food security and gender considerations integrated in all adaptation training programs</v>
      </c>
      <c r="E37" s="981"/>
      <c r="F37" s="984"/>
      <c r="G37" s="985"/>
      <c r="H37" s="204" t="str">
        <f t="shared" ref="H37:H47" si="1">+H10</f>
        <v xml:space="preserve">All capacity building training programs make a cross-cutting and explicit approach to the gender approach. Taking onto account that the effects of climate change are differentiated for men and women depending on the roles that they have in society. 
Modules and training tools addressing food security and gender empowerment have been developed. The strategy to mainstream gender in adaptation plans and measures has been strengthened with the assistance of a gender expert who has trained the technical team of the project and has guided the implementation of the actions with technical support from UN Women. The workshops for the design of adaptation measures and the initial implementation phase have taken into account factors such as food security and gender. 
As a result of these efforts a gender capacity building training plan for the FORECCSA Project has been implemented in the country. This plan provided technical assistance for gender issues in the adaptation measures for the parishes and co-executors of the project. This plan allowed to increase the knowledge, skills and abilities of the project staff in charge of executing and monitoring the progress of the Project in the field, under the premise that this team will be the multiplier of the principles that will guide gender equity in project implementation.
The incorporation of a gender perspective in training processes of the project has been considered on two levels: i) Content development explicitly linked to the theme of gender and the effort to link gender and food security themes with the purpose that both objectives demonstrate connections in practice. ii) Strategies have been planned and implemented to encourage the women participation in the workshops (schedules, places, themes) and to evaluate the knowledge progress of men and women on the topics addressed.
</v>
      </c>
      <c r="I37" s="191" t="s">
        <v>27</v>
      </c>
      <c r="J37" s="214"/>
      <c r="K37" s="14"/>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2:51" ht="169.5" customHeight="1" thickBot="1" x14ac:dyDescent="0.35">
      <c r="B38" s="211"/>
      <c r="C38" s="212"/>
      <c r="D38" s="980" t="str">
        <f t="shared" si="0"/>
        <v>Output 1.2.1. Local adaptation plans developed to reduce vulnerabilities to climate change induced food insecurity in targeted areas</v>
      </c>
      <c r="E38" s="981"/>
      <c r="F38" s="980"/>
      <c r="G38" s="981"/>
      <c r="H38" s="204" t="str">
        <f t="shared" si="1"/>
        <v xml:space="preserve">In order to formulate adaptation plans, it was agreed among the project Committee, that each parish would need an assessment of its vulnerability to the adverse effects of climate change with an emphasis on food security. This plan allows to define a set of actions to be implemented, these actions are included in the adaptation plan for each parish.
Thus a vulnerability assessments were conducted in 44 parishes through participatory processes with community members, local governments and experts in food security, climate change and community development.  Studies were carried out with an innovative methodology developed by MAE and WFP, which incorporates indicators such as social development, gender equality, food security and climate change. Information gathered on these studies was used to design adaptation plans for 44 individual parishes, which contribute to local territory planning. 
Until 2016, 44 parishes have an Adaptation to Climate Change Plan with emphasis on food security and gender considerations and five more will be formulated in 2017. As part of the implementation of measures, in the last quarter of 2016 a new socialization meeting has been made with each parish. These processes were carried out by the project and as a result of these actions local authorities are using this plans for local planning and policy making in line with the decentralization law (COOTAD). The local governments have updated their PDOT describing their priorities in which they include specific information and actions to tackle climate change, Food security and gender.
</v>
      </c>
      <c r="I38" s="191" t="s">
        <v>27</v>
      </c>
      <c r="J38" s="214"/>
      <c r="K38" s="14"/>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2:51" ht="103.5" customHeight="1" thickBot="1" x14ac:dyDescent="0.35">
      <c r="B39" s="211"/>
      <c r="C39" s="212"/>
      <c r="D39" s="980" t="str">
        <f t="shared" si="0"/>
        <v>Output 1.2.2. Community participation in processes to develop adaptation plans in targeted parishes</v>
      </c>
      <c r="E39" s="981"/>
      <c r="F39" s="980" t="str">
        <f>+F12</f>
        <v>All parishes reached</v>
      </c>
      <c r="G39" s="981"/>
      <c r="H39" s="204" t="str">
        <f t="shared" si="1"/>
        <v xml:space="preserve">With the assistance of external consultants and project staff team the adaptation plans were developed in coordination with local implementing partners. Thus, the project ensures a coordination mechanism between the central and local levels of governance which at times was not easy and required a lot of negotiation, time and efforts. Local community’s participation has been the key element for this process, so their priorities and needs are the core of the proposals.
During 2016 plans are being socialized with the authorities to demonstrate progress and overcome project challenges. In some cases the authorities have taken initiative to propose local ordinances or regulations to tackle climate change, food security and gender issues. As a result of these efforts these topics have been incorporated into 13 Development and Territorial Planning Plans (PDOT). 
</v>
      </c>
      <c r="I39" s="191" t="s">
        <v>27</v>
      </c>
      <c r="J39" s="214"/>
      <c r="K39" s="14"/>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2:51" ht="192" customHeight="1" thickBot="1" x14ac:dyDescent="0.35">
      <c r="B40" s="211"/>
      <c r="C40" s="212"/>
      <c r="D40" s="980" t="str">
        <f t="shared" si="0"/>
        <v>Output 1.2.3. Agreements developed and signed among targeted parishes, GADPP or CCRJ, MAE and WFP to implement adaptation actions</v>
      </c>
      <c r="E40" s="981"/>
      <c r="F40" s="982" t="str">
        <f>+F13</f>
        <v>All agreements reached to implement adaptation plans</v>
      </c>
      <c r="G40" s="983"/>
      <c r="H40" s="204" t="str">
        <f t="shared" si="1"/>
        <v xml:space="preserve">Until now 23 agreements have been signed between MAE and the local governments in order to implement adaptation actions in Jubones watershed. This actions were possible due to the new mode of execution that was opened in 2015. WFP, according to the resolutions of the CRC, it has provided support for the procurement process of the supplies. In the case of Pichincha, there is an amendment with the executing partner to continue with the implementation of the adaptation measures and other components of the project to achieve the results.
Under the Weather alert system project action, it has been negotiated agreements with the National Weather Services and the national Secretariat of Risk Management. Given a time extension for execution. The project have been updated and institutional arrangements are needed for project implementation.
The National Steering Committee resolved to give a time extension to the project in order to achieve their objectives until March 2018. This action was ratified and approved by the donor.
</v>
      </c>
      <c r="I40" s="191" t="s">
        <v>27</v>
      </c>
      <c r="J40" s="214"/>
      <c r="K40" s="14"/>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2:51" ht="140.5" thickBot="1" x14ac:dyDescent="0.35">
      <c r="B41" s="211"/>
      <c r="C41" s="212"/>
      <c r="D41" s="980" t="str">
        <f t="shared" si="0"/>
        <v>Output 1.2.4. Women participated in processes and decision making to develop adaptation plans</v>
      </c>
      <c r="E41" s="981"/>
      <c r="F41" s="984"/>
      <c r="G41" s="985"/>
      <c r="H41" s="204" t="str">
        <f t="shared" si="1"/>
        <v xml:space="preserve">Project activities have created ways to facilitate participation of women and men and take into account their different needs. Targeting criteria for households participation in adaptation measures gives priority to families who are led by women. Decision-making workshops promoted by the project are held at times that fit well with women's schedules. During the development of workshops, facilities for child care are provided from project staff so participants can concentrate in the training. 
The process of measures implementation considered working with groups of men and women to facilitate their needs and interests manifest themselves separately and properly addressed. Work on measures such as orchards, small animals and farm irrigation has allowed meet the practical needs of women. In Jubones three municipalities and parishes are led by women, these have been taken as emblematic cases and work closely to promote women empowerment and use them as an example.
The alliance with UN Women has allowed the Project to benefit from the support of 2 consultants. Both of them for implementing adaptation measures process and for the training process of the local project staff. A consultant accompanied the implementation actions in 2015 and another in 2016, which ensures the effective mainstreaming of the gender approach, which has also enabled the development new skills for local trainers in order to implement their activities with a gender approach.
</v>
      </c>
      <c r="I41" s="191" t="s">
        <v>27</v>
      </c>
      <c r="J41" s="214"/>
      <c r="K41" s="14"/>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2:51" ht="196.5" thickBot="1" x14ac:dyDescent="0.35">
      <c r="B42" s="211"/>
      <c r="C42" s="212"/>
      <c r="D42" s="980" t="str">
        <f t="shared" si="0"/>
        <v>Output 1.3.1. A climatic information system, including monitoring of climatic events, designed and implemented in each targeted areas in accordance with local context</v>
      </c>
      <c r="E42" s="981"/>
      <c r="F42" s="980" t="str">
        <f t="shared" ref="F42:F47" si="2">+F15</f>
        <v>All early warning systems in place</v>
      </c>
      <c r="G42" s="981"/>
      <c r="H42" s="204" t="str">
        <f t="shared" si="1"/>
        <v xml:space="preserve">In Jubones, there is an agreement with the International Center for the Investigation of El Niño phenomenon (CIIFEN) to design and implement the Climate Alert System (SAC by its acronym in Spanish). A coordinated work with MAE, MAGAP and PMA, the model and scope of the SAC was defined, as well as the management model. To date, the Diagnosis and proposal of the SAC have been generated, out of the four models designed, two are approved (vulnerability and climate) and the rest are under construction (communication and response). The viewer (web software) will allow to analyze climate and vulnerability information in order to warn risks. Simultaneously institutional agreements have been reached in order to form the working table on food security in partnership with IMAMHI, MAE, MAGAP, SGR and CONAGOPARE. Socialization meetings have been held with local actors all comments have been collected in order to include them in the SAC Operation and Management Model. The involvement of local actors has been a key point in the design and implementation of activities. 
Together with INAMHI the equipment acquired with the Project to strengthen the network of meteorological stations Jubones was installed. 
Pichincha is in the process acquiring equipment to establish the network of meteorological stations in order to have enough quality data for climate analysis. In 2016, the GADDP has had problems with procurement processes that have delayed implementation, agreements with the national authority of weather information (INAMHI) for the implementation of climate forums have been affected by constant change programming. Nowadays, communities are in an intensive training process on adaptation measures topics and they have requested that these events will be restarted on January 2017. All these activities are being coordinated with the INAMHI, and systems cover 50 parishes aimed at both target areas.
</v>
      </c>
      <c r="I42" s="191" t="s">
        <v>27</v>
      </c>
      <c r="J42" s="214"/>
      <c r="K42" s="14"/>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2:51" ht="182.25" customHeight="1" thickBot="1" x14ac:dyDescent="0.35">
      <c r="B43" s="211"/>
      <c r="C43" s="212"/>
      <c r="D43" s="980" t="str">
        <f t="shared" si="0"/>
        <v>Output 1.3.2. Monitoring system to track project results and lessons learned</v>
      </c>
      <c r="E43" s="981"/>
      <c r="F43" s="980" t="str">
        <f t="shared" si="2"/>
        <v>Monitoring systems in place</v>
      </c>
      <c r="G43" s="981"/>
      <c r="H43" s="204" t="str">
        <f t="shared" si="1"/>
        <v xml:space="preserve">In compliance with the recommendations of the interim evaluation, the system has been revised and simplified, some tools to facilitate its implementation and operation. A global monitoring tool was generated and we work on updating the monitoring system generated in previous years. The interim evaluation also recommended adaptive management with an opening for adjustments in the results framework and indicators. Project team generated a proposal and it was socialized with members of the CRC and CT. However, it was considered that it was not appropriate to change the indicators at the level of Project progress. Thus it was decided that in the report of achievement of indicators will be explain the reasons on how they were addressed. 
To supplement the monitoring of the adaptation measures nine typologies which group shares common topics were generated and for each set of indicators that will be monitored before and after Project implementation was generated. Thus these indicators of each typologies of adaptation measures will allow us to relate which adaptation measure was more effective according to the locality.
Additionally the closing process of the implementation of the measures was generated and applied it in six Jubones measures that were in charge of CCRJ. There is a specific report of these six measures, as well as an overall report.
Marginally Satisfactory (MS) was rated because there is a significant progress, however, the updating of the monitoring system needs be completed. The system is not yet complete due to the following reasons: 
a) The CDN was expected to approve the proposal for updating and adjusting the logical framework by June but this was delayed and as a result of it was not presented to the donor.  In order to not further delay the activities the Project team work in an updating of the system from July. 
b) Because the current dynamics of the Project a new monitoring needs were added to the system (for example, detailed monitoring of measures, training, etc.). In addition to this, the Logical Framework has as an indicator of "Number of items such as: measures implemented, persons trained and women participants, however, these items do not fully reflect the results achieved. 
c) The creation of a web system that automatically integrates the information of parishes, zones, provinces and watershed for the whole project should be completed. The budget planned for this activity will be used in 2017.
</v>
      </c>
      <c r="I43" s="191" t="s">
        <v>27</v>
      </c>
      <c r="J43" s="214"/>
      <c r="K43" s="14"/>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2:51" ht="173.25" customHeight="1" thickBot="1" x14ac:dyDescent="0.35">
      <c r="B44" s="211"/>
      <c r="C44" s="212"/>
      <c r="D44" s="980" t="str">
        <f t="shared" si="0"/>
        <v>Output 2.1.1. Concrete adaptation measures based on parish adaptation plans are designed</v>
      </c>
      <c r="E44" s="981"/>
      <c r="F44" s="980" t="str">
        <f t="shared" si="2"/>
        <v>100% of adaptation measures planned</v>
      </c>
      <c r="G44" s="981"/>
      <c r="H44" s="204" t="str">
        <f t="shared" si="1"/>
        <v xml:space="preserve">Based on the adaptation plans and vulnerability studies, concrete activities (adaptation measures) have been designed at the parish level in close coordination with the local communities. The design process of the measure was carried out by the project´s team with support from external consultants. The design phase involved a lot of time and efforts in order to obtain commitment from partners. The participation of the community and local authorities was crucial in order to guarantee sustainability. 
The approval process of the adaptation measures goes from local to national level of governance and it counts with the inputs from CCRJ, MAE, MAGAP and WFP. 
As a result of this efforts the project has implemented 44 adaptation measures in vulnerable parishes to the effects of climate change. Meanwhile in the 6 remaining parishes of the project target, adaptation measures are in the process of being designed and are planned to be implemented by the fourth quarter of 2017. The designs of these adaptation measures will be finalized in the first quarter of 2017, and it is estimated that the acquisitions will be made until the second quarter of next year. 
</v>
      </c>
      <c r="I44" s="191" t="s">
        <v>27</v>
      </c>
      <c r="J44" s="214"/>
      <c r="K44" s="14"/>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2:51" ht="294.5" thickBot="1" x14ac:dyDescent="0.35">
      <c r="B45" s="211"/>
      <c r="C45" s="212"/>
      <c r="D45" s="980" t="str">
        <f t="shared" si="0"/>
        <v>Output 2.1.2. Adaptation to climate change measures (physical assets, natural assets and technologies) are implemented according with the parishes adaptation plans</v>
      </c>
      <c r="E45" s="981"/>
      <c r="F45" s="980" t="str">
        <f t="shared" si="2"/>
        <v>90% of asset created</v>
      </c>
      <c r="G45" s="981"/>
      <c r="H45" s="204" t="str">
        <f t="shared" si="1"/>
        <v xml:space="preserve">By the end of 2016, 44 adaptation measures have been implemented. Involving 12,693 families vulnerable to the harmful effects of climate change and food insecure, with an investment of USD 2,804,301.18.
The adaptation measures are grouped into nine typologies: (i) Strengthening community irrigation in the drought areas, (ii) provisioning of land irrigation, (iii) development of family gardens, (iv) management of organic fertilizers for moisture soil retention (Vi) breeding of smaller animals as a source of protein, (vii) improvement of the provision of drinking water for human consumption, (viii) protection of water sources, and (ix) seed development with drought resistance attributes. For each typology a set of indicators has been established that will allow the project impact assessment of the project in contribution to the adaptation to climate change, food security and gender.
Summary of measures implementation: 44 adaptation measures (34 in Jubones &amp; 10 in Pichincha) are being implemented and validated by GADs and local communities.  2 measures in Pichincha in culmination stage of design (Tocachi and Tupigachi). These measures are expected to be delivered in the first quarter of 2017. In a closing stage there will be 7 adaptation measures, which will be strengthened with the incentive strategy that will be implemented next year. At the stage of design there are 4 measures (Cañaribamba, Zaruma, Sinsao and Cayambe) and these will be ready in the quarter of 2017. These measures are expected to be complete its design until the first half of 2017 and plans to end adaptation actions in the fourth quarter of 2017.
A total of 50 adaptation measures are being implemented that will empower vulnerable communities.
Summary of project outcomes:
• Construction / improvement of 23 reservoirs that increase water storage capacity by 120,732 m3 in order to produce food in the dry season.
• Improvement of 34 km of critical sections of community irrigation canals to provide small rural farmers with irrigation water.
• 1,850 families improve their life quality by having permanent drinking water.
• 3,023 hectares used for family farming have water for irrigation.
• Incorporation / improvement of agricultural practices to retain soil moisture, create microclimates, attenuate water shortages and diversify diet into at least 4,000 rural family chakras.
Detailed information of each adaptation measures on Annex 2.
</v>
      </c>
      <c r="I45" s="191" t="s">
        <v>27</v>
      </c>
      <c r="J45" s="214"/>
      <c r="K45" s="14"/>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2:51" ht="140.5" thickBot="1" x14ac:dyDescent="0.35">
      <c r="B46" s="211"/>
      <c r="C46" s="212"/>
      <c r="D46" s="980" t="str">
        <f t="shared" si="0"/>
        <v>Output 2.1.3. Implementation strategy includes approach for the use of incentives</v>
      </c>
      <c r="E46" s="981"/>
      <c r="F46" s="980" t="str">
        <f t="shared" si="2"/>
        <v>Strategy developed
90% of incentives implemented</v>
      </c>
      <c r="G46" s="981"/>
      <c r="H46" s="204" t="str">
        <f t="shared" si="1"/>
        <v>The project team has defined the incentive strategy and it has three purposes: (i) support to overcome barriers that have measures operations and its sustainability, (ii) strengthen the work on food and nutrition security with women's groups, and (iii) incentive families who have shown adequate levels of participation / results in the actions of the measures.
The incentives strategy will allow to rescue ancestral knowledge community and ethnic. A recruitment process for a consultant was launched, however the consultant did not meet all the requirements. 
Thus, in order to align the incentive strategy with cultural and community practices, the project team has generated a methodological conceptual proposal. This document has been submitted to CRC for approval and subsequently the strategy will be implemented. This proposal will be submitted for approval in the first quarter of 2017
Marginally Satisfactory (MS) was rated for this activity because the hiring of this consultancy could not be launched, since there were no consistent proposals, which delayed the execution time of this activity. In order to overcome this issue the team generated a strategy that responds to the needs to strengthen measures sustainability and the approach to food and nutritional security. The budget planned for this activity will be used in 2017.</v>
      </c>
      <c r="I46" s="191" t="s">
        <v>629</v>
      </c>
      <c r="J46" s="214"/>
      <c r="K46" s="14"/>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2:51" ht="140.5" thickBot="1" x14ac:dyDescent="0.35">
      <c r="B47" s="211"/>
      <c r="C47" s="212"/>
      <c r="D47" s="980" t="str">
        <f t="shared" si="0"/>
        <v>Output 2.2.1. Community participation, in particular of women, guide decision making processes for project execution</v>
      </c>
      <c r="E47" s="981"/>
      <c r="F47" s="982" t="str">
        <f t="shared" si="2"/>
        <v>Feedback process implemented</v>
      </c>
      <c r="G47" s="983"/>
      <c r="H47" s="204" t="str">
        <f t="shared" si="1"/>
        <v xml:space="preserve">Project activities have considered ways to facilitate participation of women and men taking into account their different needs and interests. Decision-making workshops promoted by the project are held at times that fit well with women's schedules in order to ensure their participation. During the development of workshops, facilities for child care are provided by project staff so that participants can concentrate in the training. To date the participation of women is around 56%. An alliance with UN Women supports the effective mainstreaming of gender. Training project staff in gender issues has shown to be a highly potential tool to generate knowledge, develop skills and raise awareness. As a result, they have shown increased ownership and commitment because it has stopped being just a speech and it has become a practical experience. The strategies used is first to identify limitations of local women for participation; encourage the presence of women among local leaders; promote the voice of women in all of the activities; value the opinions and suggestions of women; register the attendance of women; increase awareness of men; and create a baseline on participation and decision-making of men and women at the beginning of implementation, which will allow monitor progress and establish changes by the end of the project.
The results achieved are in line acoording to planned and  this output is transversal for the all activities to the execution of the measures that are under way. The budget planned for this activity will be used in 2017. </v>
      </c>
      <c r="I47" s="191" t="s">
        <v>27</v>
      </c>
      <c r="J47" s="214"/>
      <c r="K47" s="14"/>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2:51" ht="224.5" thickBot="1" x14ac:dyDescent="0.35">
      <c r="B48" s="211"/>
      <c r="C48" s="212"/>
      <c r="D48" s="980" t="str">
        <f t="shared" si="0"/>
        <v>Output 2.2.2, Parishes share success stories and lessons learned</v>
      </c>
      <c r="E48" s="981"/>
      <c r="F48" s="984"/>
      <c r="G48" s="985"/>
      <c r="H48" s="204" t="str">
        <f>+H21</f>
        <v xml:space="preserve">Two community and institutional meetings were held in which parishes representatives debated key topics related to climate change, food security, and gender. The implementation of adaptation measures began with promotional activities and exchange of best practices within communities that other adaptation projects have also implemented. The measures that are implemented include events and exchange of experience workshops based on the lessons learned through project monitoring, which also contributes information for the systemization of experiences.
On 2016, participating communities of Pichincha and the Jubones watershed have shared their adaptation experiences through exhibitions to a group of journalists in events prior to COP 22. Local fairs on food security and results of adaptation measures have also been developed. The results and community participation have caught the media attention and so the authorities (see Annex 3). 
To promote the activities of the project, two videos have been developed. One the videos has testimonial focus and was released in the Habitat III event as an example for building resilience and also used by the Minister of Environment in a side event in COP 22 Marrakesh called Sustainable Innovation Forum.
Additionally, in order to exchange experiences between communities a tour was organized for the local producers in order to see different measures and practices, these activities were carried out in Pichincha and Jubones.
Finally, an exchange of experiences has been achieved between WFP and FORECCSA project. WFP staff and their governmental partners from Imbabura province visited FORECCSA Project activities in Cayambe with the aim to exchange experiences of the integral approach of FORECCSA in climate change and food security.
This activity corresponds to the systematization that its implementation have been planned for 2017. However the ToRs have been prepared and there are several publications, videos reports and others as inputs for this systematization. This activity was planned with deadline for November 2016, when the extension of the project was approved until May 2018 , this activity was rescheduled along with the use of resources. </v>
      </c>
      <c r="I48" s="191" t="s">
        <v>27</v>
      </c>
      <c r="J48" s="214"/>
      <c r="K48" s="14"/>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2:51" ht="18.75" customHeight="1" thickBot="1" x14ac:dyDescent="0.35">
      <c r="B49" s="211"/>
      <c r="C49" s="209"/>
      <c r="D49" s="209"/>
      <c r="E49" s="209"/>
      <c r="F49" s="209"/>
      <c r="G49" s="209"/>
      <c r="H49" s="217" t="s">
        <v>624</v>
      </c>
      <c r="I49" s="218" t="s">
        <v>27</v>
      </c>
      <c r="J49" s="214"/>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2:51" ht="14.5" thickBot="1" x14ac:dyDescent="0.35">
      <c r="B50" s="211"/>
      <c r="C50" s="209"/>
      <c r="D50" s="223" t="s">
        <v>630</v>
      </c>
      <c r="E50" s="192"/>
      <c r="F50" s="209"/>
      <c r="G50" s="209"/>
      <c r="H50" s="219"/>
      <c r="I50" s="209"/>
      <c r="J50" s="214"/>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2:51" ht="14.5" thickBot="1" x14ac:dyDescent="0.35">
      <c r="B51" s="211"/>
      <c r="C51" s="209"/>
      <c r="D51" s="78" t="s">
        <v>86</v>
      </c>
      <c r="E51" s="1026" t="s">
        <v>631</v>
      </c>
      <c r="F51" s="1027"/>
      <c r="G51" s="1027"/>
      <c r="H51" s="1028"/>
      <c r="I51" s="209"/>
      <c r="J51" s="214"/>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2:51" ht="15" thickBot="1" x14ac:dyDescent="0.4">
      <c r="B52" s="211"/>
      <c r="C52" s="209"/>
      <c r="D52" s="78" t="s">
        <v>89</v>
      </c>
      <c r="E52" s="1039" t="s">
        <v>632</v>
      </c>
      <c r="F52" s="1027"/>
      <c r="G52" s="1027"/>
      <c r="H52" s="1028"/>
      <c r="I52" s="209"/>
      <c r="J52" s="214"/>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2:51" x14ac:dyDescent="0.3">
      <c r="B53" s="211"/>
      <c r="C53" s="209"/>
      <c r="D53" s="209"/>
      <c r="E53" s="209"/>
      <c r="F53" s="209"/>
      <c r="G53" s="209"/>
      <c r="H53" s="219"/>
      <c r="I53" s="209"/>
      <c r="J53" s="214"/>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2:51" ht="42" customHeight="1" thickBot="1" x14ac:dyDescent="0.35">
      <c r="B54" s="211"/>
      <c r="C54" s="209"/>
      <c r="D54" s="993" t="s">
        <v>587</v>
      </c>
      <c r="E54" s="993"/>
      <c r="F54" s="993" t="s">
        <v>588</v>
      </c>
      <c r="G54" s="993"/>
      <c r="H54" s="210" t="s">
        <v>589</v>
      </c>
      <c r="I54" s="210" t="s">
        <v>590</v>
      </c>
      <c r="J54" s="214"/>
      <c r="K54" s="14"/>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2:51" ht="40" customHeight="1" thickBot="1" x14ac:dyDescent="0.35">
      <c r="B55" s="211"/>
      <c r="C55" s="212" t="s">
        <v>633</v>
      </c>
      <c r="D55" s="1018"/>
      <c r="E55" s="1019"/>
      <c r="F55" s="1018"/>
      <c r="G55" s="1019"/>
      <c r="H55" s="193"/>
      <c r="I55" s="193"/>
      <c r="J55" s="214"/>
      <c r="K55" s="14"/>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2:51" ht="40" customHeight="1" thickBot="1" x14ac:dyDescent="0.35">
      <c r="B56" s="211"/>
      <c r="C56" s="212"/>
      <c r="D56" s="1018"/>
      <c r="E56" s="1019"/>
      <c r="F56" s="1018"/>
      <c r="G56" s="1019"/>
      <c r="H56" s="193"/>
      <c r="I56" s="193"/>
      <c r="J56" s="214"/>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2:51" ht="48" customHeight="1" thickBot="1" x14ac:dyDescent="0.35">
      <c r="B57" s="211"/>
      <c r="C57" s="212"/>
      <c r="D57" s="1018"/>
      <c r="E57" s="1019"/>
      <c r="F57" s="1018"/>
      <c r="G57" s="1019"/>
      <c r="H57" s="193"/>
      <c r="I57" s="193"/>
      <c r="J57" s="214"/>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2:51" ht="21.75" customHeight="1" thickBot="1" x14ac:dyDescent="0.35">
      <c r="B58" s="211"/>
      <c r="C58" s="209"/>
      <c r="D58" s="209"/>
      <c r="E58" s="209"/>
      <c r="F58" s="209"/>
      <c r="G58" s="209"/>
      <c r="H58" s="217" t="s">
        <v>624</v>
      </c>
      <c r="I58" s="224"/>
      <c r="J58" s="214"/>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2:51" ht="14.5" thickBot="1" x14ac:dyDescent="0.35">
      <c r="B59" s="211"/>
      <c r="C59" s="209"/>
      <c r="D59" s="223" t="s">
        <v>630</v>
      </c>
      <c r="E59" s="192"/>
      <c r="F59" s="209"/>
      <c r="G59" s="209"/>
      <c r="H59" s="219"/>
      <c r="I59" s="209"/>
      <c r="J59" s="214"/>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2:51" ht="14.5" thickBot="1" x14ac:dyDescent="0.35">
      <c r="B60" s="211"/>
      <c r="C60" s="209"/>
      <c r="D60" s="78" t="s">
        <v>86</v>
      </c>
      <c r="E60" s="1026"/>
      <c r="F60" s="1027"/>
      <c r="G60" s="1027"/>
      <c r="H60" s="1028"/>
      <c r="I60" s="209"/>
      <c r="J60" s="214"/>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2:51" ht="14.5" thickBot="1" x14ac:dyDescent="0.35">
      <c r="B61" s="211"/>
      <c r="C61" s="209"/>
      <c r="D61" s="78" t="s">
        <v>89</v>
      </c>
      <c r="E61" s="1026"/>
      <c r="F61" s="1027"/>
      <c r="G61" s="1027"/>
      <c r="H61" s="1028"/>
      <c r="I61" s="209"/>
      <c r="J61" s="214"/>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2:51" ht="14.5" thickBot="1" x14ac:dyDescent="0.35">
      <c r="B62" s="211"/>
      <c r="C62" s="209"/>
      <c r="D62" s="78"/>
      <c r="E62" s="209"/>
      <c r="F62" s="209"/>
      <c r="G62" s="209"/>
      <c r="H62" s="209"/>
      <c r="I62" s="209"/>
      <c r="J62" s="214"/>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2:51" ht="301.5" customHeight="1" x14ac:dyDescent="0.3">
      <c r="B63" s="211"/>
      <c r="C63" s="194"/>
      <c r="D63" s="1029" t="s">
        <v>634</v>
      </c>
      <c r="E63" s="1029"/>
      <c r="F63" s="1030" t="s">
        <v>1335</v>
      </c>
      <c r="G63" s="1031"/>
      <c r="H63" s="1031"/>
      <c r="I63" s="1032"/>
      <c r="J63" s="214"/>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2:51" ht="301.5" customHeight="1" x14ac:dyDescent="0.3">
      <c r="B64" s="211"/>
      <c r="C64" s="194"/>
      <c r="D64" s="544"/>
      <c r="E64" s="544"/>
      <c r="F64" s="1033"/>
      <c r="G64" s="1034"/>
      <c r="H64" s="1034"/>
      <c r="I64" s="1035"/>
      <c r="J64" s="214"/>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row>
    <row r="65" spans="2:51" ht="301.5" customHeight="1" thickBot="1" x14ac:dyDescent="0.35">
      <c r="B65" s="211"/>
      <c r="C65" s="194"/>
      <c r="D65" s="544"/>
      <c r="E65" s="544"/>
      <c r="F65" s="1036"/>
      <c r="G65" s="1037"/>
      <c r="H65" s="1037"/>
      <c r="I65" s="1038"/>
      <c r="J65" s="214"/>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row>
    <row r="66" spans="2:51" s="12" customFormat="1" ht="18.75" customHeight="1" x14ac:dyDescent="0.3">
      <c r="B66" s="211"/>
      <c r="C66" s="225"/>
      <c r="D66" s="225"/>
      <c r="E66" s="225"/>
      <c r="F66" s="225"/>
      <c r="G66" s="225"/>
      <c r="H66" s="190"/>
      <c r="I66" s="190"/>
      <c r="J66" s="214"/>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row>
    <row r="67" spans="2:51" s="12" customFormat="1" ht="15.75" customHeight="1" thickBot="1" x14ac:dyDescent="0.35">
      <c r="B67" s="211"/>
      <c r="C67" s="209"/>
      <c r="D67" s="52"/>
      <c r="E67" s="52"/>
      <c r="F67" s="52"/>
      <c r="G67" s="226" t="s">
        <v>635</v>
      </c>
      <c r="H67" s="190"/>
      <c r="I67" s="190"/>
      <c r="J67" s="214"/>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row>
    <row r="68" spans="2:51" s="12" customFormat="1" ht="78" customHeight="1" x14ac:dyDescent="0.3">
      <c r="B68" s="211"/>
      <c r="C68" s="209"/>
      <c r="D68" s="52"/>
      <c r="E68" s="52"/>
      <c r="F68" s="227" t="s">
        <v>636</v>
      </c>
      <c r="G68" s="1020" t="s">
        <v>637</v>
      </c>
      <c r="H68" s="1021"/>
      <c r="I68" s="1022"/>
      <c r="J68" s="214"/>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row>
    <row r="69" spans="2:51" s="12" customFormat="1" ht="54.75" customHeight="1" x14ac:dyDescent="0.3">
      <c r="B69" s="211"/>
      <c r="C69" s="209"/>
      <c r="D69" s="52"/>
      <c r="E69" s="52"/>
      <c r="F69" s="618" t="s">
        <v>638</v>
      </c>
      <c r="G69" s="1023" t="s">
        <v>639</v>
      </c>
      <c r="H69" s="1024"/>
      <c r="I69" s="1025"/>
      <c r="J69" s="214"/>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row>
    <row r="70" spans="2:51" s="12" customFormat="1" ht="58.5" customHeight="1" x14ac:dyDescent="0.3">
      <c r="B70" s="211"/>
      <c r="C70" s="209"/>
      <c r="D70" s="52"/>
      <c r="E70" s="52"/>
      <c r="F70" s="618" t="s">
        <v>640</v>
      </c>
      <c r="G70" s="1023" t="s">
        <v>641</v>
      </c>
      <c r="H70" s="1024"/>
      <c r="I70" s="1025"/>
      <c r="J70" s="214"/>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row>
    <row r="71" spans="2:51" ht="60" customHeight="1" x14ac:dyDescent="0.3">
      <c r="B71" s="211"/>
      <c r="C71" s="209"/>
      <c r="D71" s="52"/>
      <c r="E71" s="52"/>
      <c r="F71" s="618" t="s">
        <v>642</v>
      </c>
      <c r="G71" s="1023" t="s">
        <v>643</v>
      </c>
      <c r="H71" s="1024"/>
      <c r="I71" s="1025"/>
      <c r="J71" s="214"/>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row>
    <row r="72" spans="2:51" ht="54" customHeight="1" x14ac:dyDescent="0.3">
      <c r="B72" s="208"/>
      <c r="C72" s="209"/>
      <c r="D72" s="52"/>
      <c r="E72" s="52"/>
      <c r="F72" s="618" t="s">
        <v>644</v>
      </c>
      <c r="G72" s="1023" t="s">
        <v>645</v>
      </c>
      <c r="H72" s="1024"/>
      <c r="I72" s="1025"/>
      <c r="J72" s="53"/>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row>
    <row r="73" spans="2:51" ht="61.5" customHeight="1" thickBot="1" x14ac:dyDescent="0.35">
      <c r="B73" s="208"/>
      <c r="C73" s="209"/>
      <c r="D73" s="52"/>
      <c r="E73" s="52"/>
      <c r="F73" s="619" t="s">
        <v>646</v>
      </c>
      <c r="G73" s="1015" t="s">
        <v>647</v>
      </c>
      <c r="H73" s="1016"/>
      <c r="I73" s="1017"/>
      <c r="J73" s="53"/>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row>
    <row r="74" spans="2:51" ht="14.5" thickBot="1" x14ac:dyDescent="0.35">
      <c r="B74" s="228"/>
      <c r="C74" s="229"/>
      <c r="D74" s="230"/>
      <c r="E74" s="230"/>
      <c r="F74" s="230"/>
      <c r="G74" s="230"/>
      <c r="H74" s="195"/>
      <c r="I74" s="195"/>
      <c r="J74" s="231"/>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row>
    <row r="75" spans="2:51" ht="50.15" customHeight="1" x14ac:dyDescent="0.3">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row>
    <row r="76" spans="2:51" ht="50.15" customHeight="1" x14ac:dyDescent="0.3">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row>
    <row r="77" spans="2:51" ht="49.5" customHeight="1" x14ac:dyDescent="0.3">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row>
    <row r="78" spans="2:51" ht="50.15" customHeight="1" x14ac:dyDescent="0.3">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row>
    <row r="79" spans="2:51" ht="50.15" customHeight="1" x14ac:dyDescent="0.3">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row>
    <row r="80" spans="2:51" ht="50.15" customHeight="1" x14ac:dyDescent="0.3">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row>
    <row r="81" spans="1:51" x14ac:dyDescent="0.3">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1:51" x14ac:dyDescent="0.3">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row>
    <row r="83" spans="1:51" x14ac:dyDescent="0.3">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row>
    <row r="84" spans="1:51" x14ac:dyDescent="0.3">
      <c r="A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row>
    <row r="85" spans="1:51"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row>
    <row r="86" spans="1:51"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row>
    <row r="87" spans="1:51"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row>
    <row r="88" spans="1:51" x14ac:dyDescent="0.3">
      <c r="A88" s="19"/>
      <c r="B88" s="19"/>
      <c r="C88" s="19"/>
      <c r="D88" s="19"/>
      <c r="E88" s="19"/>
      <c r="F88" s="19"/>
      <c r="G88" s="19"/>
      <c r="H88" s="19"/>
      <c r="I88" s="19"/>
      <c r="J88" s="19"/>
      <c r="K88" s="19"/>
    </row>
    <row r="89" spans="1:51" x14ac:dyDescent="0.3">
      <c r="A89" s="19"/>
      <c r="B89" s="19"/>
      <c r="C89" s="19"/>
      <c r="D89" s="19"/>
      <c r="E89" s="19"/>
      <c r="F89" s="19"/>
      <c r="G89" s="19"/>
      <c r="H89" s="19"/>
      <c r="I89" s="19"/>
      <c r="J89" s="19"/>
      <c r="K89" s="19"/>
    </row>
    <row r="90" spans="1:51" x14ac:dyDescent="0.3">
      <c r="A90" s="19"/>
      <c r="B90" s="19"/>
      <c r="C90" s="19"/>
      <c r="D90" s="19"/>
      <c r="E90" s="19"/>
      <c r="F90" s="19"/>
      <c r="G90" s="19"/>
      <c r="H90" s="19"/>
      <c r="I90" s="19"/>
      <c r="J90" s="19"/>
      <c r="K90" s="19"/>
    </row>
    <row r="91" spans="1:51" x14ac:dyDescent="0.3">
      <c r="A91" s="19"/>
      <c r="B91" s="19"/>
      <c r="C91" s="19"/>
      <c r="D91" s="19"/>
      <c r="E91" s="19"/>
      <c r="F91" s="19"/>
      <c r="G91" s="19"/>
      <c r="H91" s="19"/>
      <c r="I91" s="19"/>
      <c r="J91" s="19"/>
      <c r="K91" s="19"/>
    </row>
    <row r="92" spans="1:51" x14ac:dyDescent="0.3">
      <c r="A92" s="19"/>
      <c r="B92" s="19"/>
      <c r="C92" s="19"/>
      <c r="D92" s="19"/>
      <c r="E92" s="19"/>
      <c r="F92" s="19"/>
      <c r="G92" s="19"/>
      <c r="H92" s="19"/>
      <c r="I92" s="19"/>
      <c r="J92" s="19"/>
      <c r="K92" s="19"/>
    </row>
    <row r="93" spans="1:51" x14ac:dyDescent="0.3">
      <c r="A93" s="19"/>
      <c r="B93" s="19"/>
      <c r="C93" s="19"/>
      <c r="D93" s="19"/>
      <c r="E93" s="19"/>
      <c r="F93" s="19"/>
      <c r="G93" s="19"/>
      <c r="H93" s="19"/>
      <c r="I93" s="19"/>
      <c r="J93" s="19"/>
      <c r="K93" s="19"/>
    </row>
    <row r="94" spans="1:51" x14ac:dyDescent="0.3">
      <c r="A94" s="19"/>
      <c r="B94" s="19"/>
      <c r="C94" s="19"/>
      <c r="D94" s="19"/>
      <c r="E94" s="19"/>
      <c r="F94" s="19"/>
      <c r="G94" s="19"/>
      <c r="H94" s="19"/>
      <c r="I94" s="19"/>
      <c r="J94" s="19"/>
      <c r="K94" s="19"/>
    </row>
    <row r="95" spans="1:51" x14ac:dyDescent="0.3">
      <c r="A95" s="19"/>
      <c r="B95" s="19"/>
      <c r="C95" s="19"/>
      <c r="D95" s="19"/>
      <c r="E95" s="19"/>
      <c r="F95" s="19"/>
      <c r="G95" s="19"/>
      <c r="H95" s="19"/>
      <c r="I95" s="19"/>
      <c r="J95" s="19"/>
      <c r="K95" s="19"/>
    </row>
    <row r="96" spans="1:51" x14ac:dyDescent="0.3">
      <c r="A96" s="19"/>
      <c r="B96" s="19"/>
      <c r="C96" s="19"/>
      <c r="D96" s="19"/>
      <c r="E96" s="19"/>
      <c r="F96" s="19"/>
      <c r="G96" s="19"/>
      <c r="H96" s="19"/>
      <c r="I96" s="19"/>
      <c r="J96" s="19"/>
      <c r="K96" s="19"/>
    </row>
    <row r="97" spans="1:11" x14ac:dyDescent="0.3">
      <c r="A97" s="19"/>
      <c r="B97" s="19"/>
      <c r="C97" s="19"/>
      <c r="D97" s="19"/>
      <c r="E97" s="19"/>
      <c r="F97" s="19"/>
      <c r="G97" s="19"/>
      <c r="H97" s="19"/>
      <c r="I97" s="19"/>
      <c r="J97" s="19"/>
      <c r="K97" s="19"/>
    </row>
    <row r="98" spans="1:11" x14ac:dyDescent="0.3">
      <c r="A98" s="19"/>
      <c r="B98" s="19"/>
      <c r="C98" s="19"/>
      <c r="D98" s="19"/>
      <c r="E98" s="19"/>
      <c r="F98" s="19"/>
      <c r="G98" s="19"/>
      <c r="H98" s="19"/>
      <c r="I98" s="19"/>
      <c r="J98" s="19"/>
      <c r="K98" s="19"/>
    </row>
    <row r="99" spans="1:11" x14ac:dyDescent="0.3">
      <c r="A99" s="19"/>
      <c r="B99" s="19"/>
      <c r="C99" s="19"/>
      <c r="D99" s="19"/>
      <c r="E99" s="19"/>
      <c r="F99" s="19"/>
      <c r="G99" s="19"/>
      <c r="H99" s="19"/>
      <c r="I99" s="19"/>
      <c r="J99" s="19"/>
      <c r="K99" s="19"/>
    </row>
    <row r="100" spans="1:11" x14ac:dyDescent="0.3">
      <c r="A100" s="19"/>
      <c r="B100" s="19"/>
      <c r="C100" s="19"/>
      <c r="D100" s="19"/>
      <c r="E100" s="19"/>
      <c r="F100" s="19"/>
      <c r="G100" s="19"/>
      <c r="H100" s="19"/>
      <c r="I100" s="19"/>
      <c r="J100" s="19"/>
      <c r="K100" s="19"/>
    </row>
    <row r="101" spans="1:11" x14ac:dyDescent="0.3">
      <c r="A101" s="19"/>
      <c r="B101" s="19"/>
      <c r="C101" s="19"/>
      <c r="D101" s="19"/>
      <c r="E101" s="19"/>
      <c r="F101" s="19"/>
      <c r="G101" s="19"/>
      <c r="H101" s="19"/>
      <c r="I101" s="19"/>
      <c r="J101" s="19"/>
      <c r="K101" s="19"/>
    </row>
    <row r="102" spans="1:11" x14ac:dyDescent="0.3">
      <c r="A102" s="19"/>
      <c r="B102" s="19"/>
      <c r="C102" s="19"/>
      <c r="D102" s="19"/>
      <c r="E102" s="19"/>
      <c r="F102" s="19"/>
      <c r="G102" s="19"/>
      <c r="H102" s="19"/>
      <c r="I102" s="19"/>
      <c r="J102" s="19"/>
      <c r="K102" s="19"/>
    </row>
    <row r="103" spans="1:11" x14ac:dyDescent="0.3">
      <c r="A103" s="19"/>
      <c r="B103" s="19"/>
      <c r="C103" s="19"/>
      <c r="D103" s="19"/>
      <c r="E103" s="19"/>
      <c r="F103" s="19"/>
      <c r="G103" s="19"/>
      <c r="H103" s="19"/>
      <c r="I103" s="19"/>
      <c r="J103" s="19"/>
      <c r="K103" s="19"/>
    </row>
    <row r="104" spans="1:11" x14ac:dyDescent="0.3">
      <c r="A104" s="19"/>
      <c r="B104" s="19"/>
      <c r="C104" s="19"/>
      <c r="D104" s="19"/>
      <c r="E104" s="19"/>
      <c r="F104" s="19"/>
      <c r="G104" s="19"/>
      <c r="H104" s="19"/>
      <c r="I104" s="19"/>
      <c r="J104" s="19"/>
      <c r="K104" s="19"/>
    </row>
    <row r="105" spans="1:11" x14ac:dyDescent="0.3">
      <c r="A105" s="19"/>
      <c r="B105" s="19"/>
      <c r="C105" s="19"/>
      <c r="D105" s="19"/>
      <c r="E105" s="19"/>
      <c r="F105" s="19"/>
      <c r="G105" s="19"/>
      <c r="H105" s="19"/>
      <c r="I105" s="19"/>
      <c r="J105" s="19"/>
      <c r="K105" s="19"/>
    </row>
    <row r="106" spans="1:11" x14ac:dyDescent="0.3">
      <c r="A106" s="19"/>
      <c r="B106" s="19"/>
      <c r="C106" s="19"/>
      <c r="D106" s="19"/>
      <c r="E106" s="19"/>
      <c r="F106" s="19"/>
      <c r="G106" s="19"/>
      <c r="H106" s="19"/>
      <c r="I106" s="19"/>
      <c r="J106" s="19"/>
      <c r="K106" s="19"/>
    </row>
    <row r="107" spans="1:11" x14ac:dyDescent="0.3">
      <c r="A107" s="19"/>
      <c r="B107" s="19"/>
      <c r="C107" s="19"/>
      <c r="D107" s="19"/>
      <c r="E107" s="19"/>
      <c r="F107" s="19"/>
      <c r="G107" s="19"/>
      <c r="H107" s="19"/>
      <c r="I107" s="19"/>
      <c r="J107" s="19"/>
      <c r="K107" s="19"/>
    </row>
    <row r="108" spans="1:11" x14ac:dyDescent="0.3">
      <c r="A108" s="19"/>
      <c r="B108" s="19"/>
      <c r="C108" s="19"/>
      <c r="D108" s="19"/>
      <c r="E108" s="19"/>
      <c r="F108" s="19"/>
      <c r="G108" s="19"/>
      <c r="H108" s="19"/>
      <c r="I108" s="19"/>
      <c r="J108" s="19"/>
      <c r="K108" s="19"/>
    </row>
    <row r="109" spans="1:11" x14ac:dyDescent="0.3">
      <c r="A109" s="19"/>
      <c r="B109" s="19"/>
      <c r="C109" s="19"/>
      <c r="D109" s="19"/>
      <c r="E109" s="19"/>
      <c r="F109" s="19"/>
      <c r="G109" s="19"/>
      <c r="H109" s="19"/>
      <c r="I109" s="19"/>
      <c r="J109" s="19"/>
      <c r="K109" s="19"/>
    </row>
    <row r="110" spans="1:11" x14ac:dyDescent="0.3">
      <c r="A110" s="19"/>
      <c r="B110" s="19"/>
      <c r="C110" s="19"/>
      <c r="D110" s="19"/>
      <c r="E110" s="19"/>
      <c r="F110" s="19"/>
      <c r="G110" s="19"/>
      <c r="H110" s="19"/>
      <c r="I110" s="19"/>
      <c r="J110" s="19"/>
      <c r="K110" s="19"/>
    </row>
    <row r="111" spans="1:11" x14ac:dyDescent="0.3">
      <c r="A111" s="19"/>
      <c r="B111" s="19"/>
      <c r="C111" s="19"/>
      <c r="D111" s="19"/>
      <c r="E111" s="19"/>
      <c r="F111" s="19"/>
      <c r="G111" s="19"/>
      <c r="H111" s="19"/>
      <c r="I111" s="19"/>
      <c r="J111" s="19"/>
      <c r="K111" s="19"/>
    </row>
    <row r="112" spans="1:11" x14ac:dyDescent="0.3">
      <c r="A112" s="19"/>
      <c r="B112" s="19"/>
      <c r="C112" s="19"/>
      <c r="D112" s="19"/>
      <c r="E112" s="19"/>
      <c r="F112" s="19"/>
      <c r="G112" s="19"/>
      <c r="H112" s="19"/>
      <c r="I112" s="19"/>
      <c r="J112" s="19"/>
      <c r="K112" s="19"/>
    </row>
    <row r="113" spans="1:11" x14ac:dyDescent="0.3">
      <c r="A113" s="19"/>
      <c r="B113" s="19"/>
      <c r="C113" s="19"/>
      <c r="D113" s="19"/>
      <c r="E113" s="19"/>
      <c r="F113" s="19"/>
      <c r="G113" s="19"/>
      <c r="H113" s="19"/>
      <c r="I113" s="19"/>
      <c r="J113" s="19"/>
      <c r="K113" s="19"/>
    </row>
    <row r="114" spans="1:11" x14ac:dyDescent="0.3">
      <c r="A114" s="19"/>
      <c r="B114" s="19"/>
      <c r="C114" s="19"/>
      <c r="D114" s="19"/>
      <c r="E114" s="19"/>
      <c r="F114" s="19"/>
      <c r="G114" s="19"/>
      <c r="H114" s="19"/>
      <c r="I114" s="19"/>
      <c r="J114" s="19"/>
      <c r="K114" s="19"/>
    </row>
    <row r="115" spans="1:11" x14ac:dyDescent="0.3">
      <c r="A115" s="19"/>
      <c r="B115" s="19"/>
      <c r="C115" s="19"/>
      <c r="D115" s="19"/>
      <c r="E115" s="19"/>
      <c r="F115" s="19"/>
      <c r="G115" s="19"/>
      <c r="H115" s="19"/>
      <c r="I115" s="19"/>
      <c r="J115" s="19"/>
      <c r="K115" s="19"/>
    </row>
    <row r="116" spans="1:11" x14ac:dyDescent="0.3">
      <c r="A116" s="19"/>
      <c r="B116" s="19"/>
      <c r="C116" s="19"/>
      <c r="D116" s="19"/>
      <c r="E116" s="19"/>
      <c r="F116" s="19"/>
      <c r="G116" s="19"/>
      <c r="H116" s="19"/>
      <c r="I116" s="19"/>
      <c r="J116" s="19"/>
      <c r="K116" s="19"/>
    </row>
    <row r="117" spans="1:11" x14ac:dyDescent="0.3">
      <c r="A117" s="19"/>
      <c r="B117" s="19"/>
      <c r="C117" s="19"/>
      <c r="D117" s="19"/>
      <c r="E117" s="19"/>
      <c r="F117" s="19"/>
      <c r="G117" s="19"/>
      <c r="H117" s="19"/>
      <c r="I117" s="19"/>
      <c r="J117" s="19"/>
      <c r="K117" s="19"/>
    </row>
    <row r="118" spans="1:11" x14ac:dyDescent="0.3">
      <c r="A118" s="19"/>
      <c r="B118" s="19"/>
      <c r="C118" s="19"/>
      <c r="D118" s="19"/>
      <c r="E118" s="19"/>
      <c r="F118" s="19"/>
      <c r="G118" s="19"/>
      <c r="H118" s="19"/>
      <c r="I118" s="19"/>
      <c r="J118" s="19"/>
      <c r="K118" s="19"/>
    </row>
    <row r="119" spans="1:11" x14ac:dyDescent="0.3">
      <c r="A119" s="19"/>
      <c r="B119" s="19"/>
      <c r="C119" s="19"/>
      <c r="D119" s="19"/>
      <c r="E119" s="19"/>
      <c r="F119" s="19"/>
      <c r="G119" s="19"/>
      <c r="H119" s="19"/>
      <c r="I119" s="19"/>
      <c r="J119" s="19"/>
      <c r="K119" s="19"/>
    </row>
    <row r="120" spans="1:11" x14ac:dyDescent="0.3">
      <c r="A120" s="19"/>
      <c r="B120" s="19"/>
      <c r="C120" s="19"/>
      <c r="D120" s="19"/>
      <c r="E120" s="19"/>
      <c r="F120" s="19"/>
      <c r="G120" s="19"/>
      <c r="H120" s="19"/>
      <c r="I120" s="19"/>
      <c r="J120" s="19"/>
      <c r="K120" s="19"/>
    </row>
    <row r="121" spans="1:11" x14ac:dyDescent="0.3">
      <c r="A121" s="19"/>
      <c r="B121" s="19"/>
      <c r="C121" s="19"/>
      <c r="D121" s="19"/>
      <c r="E121" s="19"/>
      <c r="F121" s="19"/>
      <c r="G121" s="19"/>
      <c r="H121" s="19"/>
      <c r="I121" s="19"/>
      <c r="J121" s="19"/>
      <c r="K121" s="19"/>
    </row>
    <row r="122" spans="1:11" x14ac:dyDescent="0.3">
      <c r="A122" s="19"/>
      <c r="B122" s="19"/>
      <c r="C122" s="19"/>
      <c r="D122" s="19"/>
      <c r="E122" s="19"/>
      <c r="F122" s="19"/>
      <c r="G122" s="19"/>
      <c r="H122" s="19"/>
      <c r="I122" s="19"/>
      <c r="J122" s="19"/>
      <c r="K122" s="19"/>
    </row>
    <row r="123" spans="1:11" x14ac:dyDescent="0.3">
      <c r="A123" s="19"/>
      <c r="B123" s="19"/>
      <c r="H123" s="19"/>
      <c r="I123" s="19"/>
      <c r="J123" s="19"/>
      <c r="K123" s="19"/>
    </row>
    <row r="124" spans="1:11" x14ac:dyDescent="0.3">
      <c r="A124" s="19"/>
      <c r="B124" s="19"/>
      <c r="H124" s="19"/>
      <c r="I124" s="19"/>
      <c r="J124" s="19"/>
      <c r="K124" s="19"/>
    </row>
    <row r="125" spans="1:11" x14ac:dyDescent="0.3">
      <c r="A125" s="19"/>
      <c r="B125" s="19"/>
      <c r="H125" s="19"/>
      <c r="I125" s="19"/>
      <c r="J125" s="19"/>
      <c r="K125" s="19"/>
    </row>
    <row r="126" spans="1:11" x14ac:dyDescent="0.3">
      <c r="A126" s="19"/>
      <c r="B126" s="19"/>
      <c r="H126" s="19"/>
      <c r="I126" s="19"/>
      <c r="J126" s="19"/>
      <c r="K126" s="19"/>
    </row>
    <row r="127" spans="1:11" x14ac:dyDescent="0.3">
      <c r="A127" s="19"/>
      <c r="B127" s="19"/>
      <c r="H127" s="19"/>
      <c r="I127" s="19"/>
      <c r="J127" s="19"/>
      <c r="K127" s="19"/>
    </row>
    <row r="128" spans="1:11" x14ac:dyDescent="0.3">
      <c r="A128" s="19"/>
      <c r="B128" s="19"/>
      <c r="H128" s="19"/>
      <c r="I128" s="19"/>
      <c r="J128" s="19"/>
      <c r="K128" s="19"/>
    </row>
    <row r="129" spans="1:11" x14ac:dyDescent="0.3">
      <c r="A129" s="19"/>
      <c r="B129" s="19"/>
      <c r="H129" s="19"/>
      <c r="I129" s="19"/>
      <c r="J129" s="19"/>
      <c r="K129" s="19"/>
    </row>
    <row r="130" spans="1:11" x14ac:dyDescent="0.3">
      <c r="A130" s="19"/>
      <c r="B130" s="19"/>
      <c r="H130" s="19"/>
      <c r="I130" s="19"/>
      <c r="J130" s="19"/>
      <c r="K130" s="19"/>
    </row>
    <row r="131" spans="1:11" x14ac:dyDescent="0.3">
      <c r="A131" s="19"/>
      <c r="B131" s="19"/>
      <c r="H131" s="19"/>
      <c r="I131" s="19"/>
      <c r="J131" s="19"/>
      <c r="K131" s="19"/>
    </row>
    <row r="132" spans="1:11" x14ac:dyDescent="0.3">
      <c r="B132" s="19"/>
      <c r="J132" s="19"/>
    </row>
  </sheetData>
  <mergeCells count="79">
    <mergeCell ref="F63:I65"/>
    <mergeCell ref="E52:H52"/>
    <mergeCell ref="D54:E54"/>
    <mergeCell ref="D57:E57"/>
    <mergeCell ref="F54:G54"/>
    <mergeCell ref="D55:E55"/>
    <mergeCell ref="F55:G55"/>
    <mergeCell ref="D12:E12"/>
    <mergeCell ref="F12:G12"/>
    <mergeCell ref="G73:I73"/>
    <mergeCell ref="F56:G56"/>
    <mergeCell ref="G68:I68"/>
    <mergeCell ref="G69:I69"/>
    <mergeCell ref="G70:I70"/>
    <mergeCell ref="G71:I71"/>
    <mergeCell ref="G72:I72"/>
    <mergeCell ref="E61:H61"/>
    <mergeCell ref="D56:E56"/>
    <mergeCell ref="F57:G57"/>
    <mergeCell ref="E60:H60"/>
    <mergeCell ref="D63:E63"/>
    <mergeCell ref="E51:H51"/>
    <mergeCell ref="D38:E38"/>
    <mergeCell ref="F38:G38"/>
    <mergeCell ref="C3:I3"/>
    <mergeCell ref="C4:I4"/>
    <mergeCell ref="C28:H28"/>
    <mergeCell ref="D8:E8"/>
    <mergeCell ref="D7:E7"/>
    <mergeCell ref="F7:G7"/>
    <mergeCell ref="E25:H25"/>
    <mergeCell ref="E26:H26"/>
    <mergeCell ref="D24:I24"/>
    <mergeCell ref="F8:G10"/>
    <mergeCell ref="D9:E9"/>
    <mergeCell ref="D10:E10"/>
    <mergeCell ref="D11:E11"/>
    <mergeCell ref="F11:G11"/>
    <mergeCell ref="D29:I32"/>
    <mergeCell ref="D35:E35"/>
    <mergeCell ref="D34:E34"/>
    <mergeCell ref="F34:G34"/>
    <mergeCell ref="F35:G37"/>
    <mergeCell ref="D36:E36"/>
    <mergeCell ref="D37:E37"/>
    <mergeCell ref="D13:E13"/>
    <mergeCell ref="F13:G14"/>
    <mergeCell ref="D14:E14"/>
    <mergeCell ref="D15:E15"/>
    <mergeCell ref="F15:G15"/>
    <mergeCell ref="D16:E16"/>
    <mergeCell ref="F16:G16"/>
    <mergeCell ref="D17:E17"/>
    <mergeCell ref="F17:G17"/>
    <mergeCell ref="D18:E18"/>
    <mergeCell ref="F18:G18"/>
    <mergeCell ref="D19:E19"/>
    <mergeCell ref="F19:G19"/>
    <mergeCell ref="D20:E20"/>
    <mergeCell ref="D21:E21"/>
    <mergeCell ref="F20:G21"/>
    <mergeCell ref="D39:E39"/>
    <mergeCell ref="F39:G39"/>
    <mergeCell ref="D40:E40"/>
    <mergeCell ref="D41:E41"/>
    <mergeCell ref="F40:G41"/>
    <mergeCell ref="D42:E42"/>
    <mergeCell ref="F42:G42"/>
    <mergeCell ref="D43:E43"/>
    <mergeCell ref="F43:G43"/>
    <mergeCell ref="D44:E44"/>
    <mergeCell ref="F44:G44"/>
    <mergeCell ref="D48:E48"/>
    <mergeCell ref="D45:E45"/>
    <mergeCell ref="F45:G45"/>
    <mergeCell ref="D46:E46"/>
    <mergeCell ref="F46:G46"/>
    <mergeCell ref="D47:E47"/>
    <mergeCell ref="F47:G48"/>
  </mergeCells>
  <hyperlinks>
    <hyperlink ref="E26" r:id="rId1" xr:uid="{00000000-0004-0000-0400-000000000000}"/>
    <hyperlink ref="E52" r:id="rId2" xr:uid="{00000000-0004-0000-0400-000001000000}"/>
  </hyperlinks>
  <pageMargins left="0.2" right="0.21" top="0.17" bottom="0.17" header="0.17" footer="0.17"/>
  <pageSetup scale="50"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L37"/>
  <sheetViews>
    <sheetView topLeftCell="A35" zoomScale="70" zoomScaleNormal="70" workbookViewId="0">
      <selection activeCell="C1" sqref="C1"/>
    </sheetView>
  </sheetViews>
  <sheetFormatPr defaultColWidth="9.1796875" defaultRowHeight="14" x14ac:dyDescent="0.3"/>
  <cols>
    <col min="1" max="1" width="1.453125" style="13" customWidth="1"/>
    <col min="2" max="2" width="1.81640625" style="13" customWidth="1"/>
    <col min="3" max="3" width="11.453125" style="13" customWidth="1"/>
    <col min="4" max="4" width="11.54296875" style="13" customWidth="1"/>
    <col min="5" max="5" width="12.81640625" style="13" customWidth="1"/>
    <col min="6" max="6" width="17.26953125" style="13" customWidth="1"/>
    <col min="7" max="7" width="124.453125" style="13" customWidth="1"/>
    <col min="8" max="8" width="34.26953125" style="13" customWidth="1"/>
    <col min="9" max="10" width="1.7265625" style="13" customWidth="1"/>
    <col min="11" max="16384" width="9.1796875" style="13"/>
  </cols>
  <sheetData>
    <row r="1" spans="2:9" ht="14.5" thickBot="1" x14ac:dyDescent="0.35"/>
    <row r="2" spans="2:9" ht="14.5" thickBot="1" x14ac:dyDescent="0.35">
      <c r="B2" s="205"/>
      <c r="C2" s="206"/>
      <c r="D2" s="50"/>
      <c r="E2" s="50"/>
      <c r="F2" s="50"/>
      <c r="G2" s="50"/>
      <c r="H2" s="50"/>
      <c r="I2" s="51"/>
    </row>
    <row r="3" spans="2:9" ht="14.5" thickBot="1" x14ac:dyDescent="0.35">
      <c r="B3" s="73"/>
      <c r="C3" s="960" t="s">
        <v>648</v>
      </c>
      <c r="D3" s="1049"/>
      <c r="E3" s="1049"/>
      <c r="F3" s="1049"/>
      <c r="G3" s="1049"/>
      <c r="H3" s="1050"/>
      <c r="I3" s="207"/>
    </row>
    <row r="4" spans="2:9" x14ac:dyDescent="0.3">
      <c r="B4" s="208"/>
      <c r="C4" s="1051" t="s">
        <v>649</v>
      </c>
      <c r="D4" s="1051"/>
      <c r="E4" s="1051"/>
      <c r="F4" s="1051"/>
      <c r="G4" s="1051"/>
      <c r="H4" s="1051"/>
      <c r="I4" s="53"/>
    </row>
    <row r="5" spans="2:9" x14ac:dyDescent="0.3">
      <c r="B5" s="208"/>
      <c r="C5" s="1052"/>
      <c r="D5" s="1052"/>
      <c r="E5" s="1052"/>
      <c r="F5" s="1052"/>
      <c r="G5" s="1052"/>
      <c r="H5" s="1052"/>
      <c r="I5" s="53"/>
    </row>
    <row r="6" spans="2:9" ht="30.75" customHeight="1" thickBot="1" x14ac:dyDescent="0.35">
      <c r="B6" s="208"/>
      <c r="C6" s="1056" t="s">
        <v>650</v>
      </c>
      <c r="D6" s="1056"/>
      <c r="E6" s="52"/>
      <c r="F6" s="52"/>
      <c r="G6" s="52"/>
      <c r="H6" s="52"/>
      <c r="I6" s="53"/>
    </row>
    <row r="7" spans="2:9" ht="30" customHeight="1" thickBot="1" x14ac:dyDescent="0.35">
      <c r="B7" s="208"/>
      <c r="C7" s="93" t="s">
        <v>651</v>
      </c>
      <c r="D7" s="1053" t="s">
        <v>652</v>
      </c>
      <c r="E7" s="1054"/>
      <c r="F7" s="232" t="s">
        <v>653</v>
      </c>
      <c r="G7" s="233" t="s">
        <v>654</v>
      </c>
      <c r="H7" s="232" t="s">
        <v>655</v>
      </c>
      <c r="I7" s="53"/>
    </row>
    <row r="8" spans="2:9" ht="28" x14ac:dyDescent="0.3">
      <c r="B8" s="211"/>
      <c r="C8" s="234" t="s">
        <v>656</v>
      </c>
      <c r="D8" s="1055" t="s">
        <v>657</v>
      </c>
      <c r="E8" s="1055"/>
      <c r="F8" s="620" t="s">
        <v>658</v>
      </c>
      <c r="G8" s="621" t="s">
        <v>79</v>
      </c>
      <c r="H8" s="620" t="s">
        <v>659</v>
      </c>
      <c r="I8" s="214"/>
    </row>
    <row r="9" spans="2:9" ht="42" x14ac:dyDescent="0.3">
      <c r="B9" s="211"/>
      <c r="C9" s="546" t="s">
        <v>656</v>
      </c>
      <c r="D9" s="1045" t="s">
        <v>660</v>
      </c>
      <c r="E9" s="1045"/>
      <c r="F9" s="622" t="s">
        <v>661</v>
      </c>
      <c r="G9" s="623" t="s">
        <v>79</v>
      </c>
      <c r="H9" s="622" t="s">
        <v>662</v>
      </c>
      <c r="I9" s="214"/>
    </row>
    <row r="10" spans="2:9" ht="140" x14ac:dyDescent="0.3">
      <c r="B10" s="211"/>
      <c r="C10" s="546" t="s">
        <v>663</v>
      </c>
      <c r="D10" s="1045" t="s">
        <v>664</v>
      </c>
      <c r="E10" s="1045"/>
      <c r="F10" s="622" t="s">
        <v>665</v>
      </c>
      <c r="G10" s="624" t="s">
        <v>666</v>
      </c>
      <c r="H10" s="622" t="s">
        <v>667</v>
      </c>
      <c r="I10" s="214"/>
    </row>
    <row r="11" spans="2:9" ht="210" x14ac:dyDescent="0.3">
      <c r="B11" s="211"/>
      <c r="C11" s="546" t="s">
        <v>668</v>
      </c>
      <c r="D11" s="1045" t="s">
        <v>669</v>
      </c>
      <c r="E11" s="1045"/>
      <c r="F11" s="622" t="s">
        <v>670</v>
      </c>
      <c r="G11" s="625" t="s">
        <v>671</v>
      </c>
      <c r="H11" s="622" t="s">
        <v>672</v>
      </c>
      <c r="I11" s="214"/>
    </row>
    <row r="12" spans="2:9" ht="140" x14ac:dyDescent="0.3">
      <c r="B12" s="211"/>
      <c r="C12" s="546" t="s">
        <v>673</v>
      </c>
      <c r="D12" s="1045" t="s">
        <v>674</v>
      </c>
      <c r="E12" s="1045"/>
      <c r="F12" s="622" t="s">
        <v>675</v>
      </c>
      <c r="G12" s="760" t="s">
        <v>1336</v>
      </c>
      <c r="H12" s="622" t="s">
        <v>676</v>
      </c>
      <c r="I12" s="214"/>
    </row>
    <row r="13" spans="2:9" ht="98" x14ac:dyDescent="0.3">
      <c r="B13" s="211"/>
      <c r="C13" s="546" t="s">
        <v>677</v>
      </c>
      <c r="D13" s="1045" t="s">
        <v>678</v>
      </c>
      <c r="E13" s="1045"/>
      <c r="F13" s="622" t="s">
        <v>679</v>
      </c>
      <c r="G13" s="627" t="s">
        <v>680</v>
      </c>
      <c r="H13" s="622" t="s">
        <v>681</v>
      </c>
      <c r="I13" s="214"/>
    </row>
    <row r="14" spans="2:9" ht="112" x14ac:dyDescent="0.3">
      <c r="B14" s="211"/>
      <c r="C14" s="546" t="s">
        <v>682</v>
      </c>
      <c r="D14" s="1045" t="s">
        <v>683</v>
      </c>
      <c r="E14" s="1045"/>
      <c r="F14" s="622" t="s">
        <v>684</v>
      </c>
      <c r="G14" s="1040" t="s">
        <v>1346</v>
      </c>
      <c r="H14" s="622" t="s">
        <v>685</v>
      </c>
      <c r="I14" s="214"/>
    </row>
    <row r="15" spans="2:9" ht="164.25" customHeight="1" x14ac:dyDescent="0.3">
      <c r="B15" s="211"/>
      <c r="C15" s="546" t="s">
        <v>682</v>
      </c>
      <c r="D15" s="1045" t="s">
        <v>686</v>
      </c>
      <c r="E15" s="1045"/>
      <c r="F15" s="622" t="s">
        <v>687</v>
      </c>
      <c r="G15" s="1040"/>
      <c r="H15" s="622" t="s">
        <v>688</v>
      </c>
      <c r="I15" s="214"/>
    </row>
    <row r="16" spans="2:9" ht="84" x14ac:dyDescent="0.3">
      <c r="B16" s="211"/>
      <c r="C16" s="546" t="s">
        <v>682</v>
      </c>
      <c r="D16" s="1045" t="s">
        <v>689</v>
      </c>
      <c r="E16" s="1045"/>
      <c r="F16" s="622" t="s">
        <v>690</v>
      </c>
      <c r="G16" s="627" t="s">
        <v>691</v>
      </c>
      <c r="H16" s="622" t="s">
        <v>692</v>
      </c>
      <c r="I16" s="214"/>
    </row>
    <row r="17" spans="2:12" ht="56" x14ac:dyDescent="0.3">
      <c r="B17" s="211"/>
      <c r="C17" s="546" t="s">
        <v>693</v>
      </c>
      <c r="D17" s="1045" t="s">
        <v>694</v>
      </c>
      <c r="E17" s="1045"/>
      <c r="F17" s="622" t="s">
        <v>695</v>
      </c>
      <c r="G17" s="1042" t="s">
        <v>696</v>
      </c>
      <c r="H17" s="622" t="s">
        <v>697</v>
      </c>
      <c r="I17" s="214"/>
    </row>
    <row r="18" spans="2:12" ht="70" x14ac:dyDescent="0.3">
      <c r="B18" s="211"/>
      <c r="C18" s="546" t="s">
        <v>698</v>
      </c>
      <c r="D18" s="1045" t="s">
        <v>699</v>
      </c>
      <c r="E18" s="1045"/>
      <c r="F18" s="622" t="s">
        <v>700</v>
      </c>
      <c r="G18" s="1046"/>
      <c r="H18" s="622" t="s">
        <v>701</v>
      </c>
      <c r="I18" s="214"/>
    </row>
    <row r="19" spans="2:12" ht="223.5" customHeight="1" x14ac:dyDescent="0.3">
      <c r="B19" s="211"/>
      <c r="C19" s="546" t="s">
        <v>702</v>
      </c>
      <c r="D19" s="1045" t="s">
        <v>703</v>
      </c>
      <c r="E19" s="1045"/>
      <c r="F19" s="622" t="s">
        <v>704</v>
      </c>
      <c r="G19" s="624" t="s">
        <v>705</v>
      </c>
      <c r="H19" s="622" t="s">
        <v>706</v>
      </c>
      <c r="I19" s="214"/>
      <c r="K19" s="235"/>
    </row>
    <row r="20" spans="2:12" ht="97.5" customHeight="1" x14ac:dyDescent="0.3">
      <c r="B20" s="211"/>
      <c r="C20" s="546" t="s">
        <v>707</v>
      </c>
      <c r="D20" s="1045" t="s">
        <v>708</v>
      </c>
      <c r="E20" s="1045"/>
      <c r="F20" s="622" t="s">
        <v>709</v>
      </c>
      <c r="G20" s="624" t="s">
        <v>710</v>
      </c>
      <c r="H20" s="622" t="s">
        <v>711</v>
      </c>
      <c r="I20" s="214"/>
    </row>
    <row r="21" spans="2:12" ht="70" x14ac:dyDescent="0.3">
      <c r="B21" s="211"/>
      <c r="C21" s="546" t="s">
        <v>712</v>
      </c>
      <c r="D21" s="1045" t="s">
        <v>713</v>
      </c>
      <c r="E21" s="1045"/>
      <c r="F21" s="622" t="s">
        <v>714</v>
      </c>
      <c r="G21" s="761" t="s">
        <v>1337</v>
      </c>
      <c r="H21" s="622" t="s">
        <v>715</v>
      </c>
      <c r="I21" s="214"/>
    </row>
    <row r="22" spans="2:12" ht="132" customHeight="1" x14ac:dyDescent="0.3">
      <c r="B22" s="211"/>
      <c r="C22" s="546" t="s">
        <v>712</v>
      </c>
      <c r="D22" s="1045" t="s">
        <v>716</v>
      </c>
      <c r="E22" s="1045"/>
      <c r="F22" s="622" t="s">
        <v>717</v>
      </c>
      <c r="G22" s="1041" t="s">
        <v>1338</v>
      </c>
      <c r="H22" s="622" t="s">
        <v>718</v>
      </c>
      <c r="I22" s="214"/>
    </row>
    <row r="23" spans="2:12" ht="132" customHeight="1" x14ac:dyDescent="0.3">
      <c r="B23" s="211"/>
      <c r="C23" s="546" t="s">
        <v>719</v>
      </c>
      <c r="D23" s="1045" t="s">
        <v>720</v>
      </c>
      <c r="E23" s="1045"/>
      <c r="F23" s="622" t="s">
        <v>717</v>
      </c>
      <c r="G23" s="1042"/>
      <c r="H23" s="1043" t="s">
        <v>721</v>
      </c>
      <c r="I23" s="214"/>
    </row>
    <row r="24" spans="2:12" ht="42" x14ac:dyDescent="0.3">
      <c r="B24" s="211"/>
      <c r="C24" s="546" t="s">
        <v>719</v>
      </c>
      <c r="D24" s="1045" t="s">
        <v>722</v>
      </c>
      <c r="E24" s="1045"/>
      <c r="F24" s="628" t="s">
        <v>723</v>
      </c>
      <c r="G24" s="1042"/>
      <c r="H24" s="1044"/>
      <c r="I24" s="214"/>
    </row>
    <row r="25" spans="2:12" ht="70" x14ac:dyDescent="0.3">
      <c r="B25" s="211"/>
      <c r="C25" s="546" t="s">
        <v>724</v>
      </c>
      <c r="D25" s="1045" t="s">
        <v>725</v>
      </c>
      <c r="E25" s="1045"/>
      <c r="F25" s="628" t="s">
        <v>726</v>
      </c>
      <c r="G25" s="626" t="s">
        <v>727</v>
      </c>
      <c r="H25" s="629" t="s">
        <v>728</v>
      </c>
      <c r="I25" s="214"/>
    </row>
    <row r="26" spans="2:12" ht="98" x14ac:dyDescent="0.3">
      <c r="B26" s="211"/>
      <c r="C26" s="546" t="s">
        <v>729</v>
      </c>
      <c r="D26" s="1045" t="s">
        <v>730</v>
      </c>
      <c r="E26" s="1045"/>
      <c r="F26" s="622" t="s">
        <v>731</v>
      </c>
      <c r="G26" s="768" t="s">
        <v>1354</v>
      </c>
      <c r="H26" s="622" t="s">
        <v>732</v>
      </c>
      <c r="I26" s="214"/>
    </row>
    <row r="27" spans="2:12" ht="98" x14ac:dyDescent="0.3">
      <c r="B27" s="211"/>
      <c r="C27" s="546" t="s">
        <v>729</v>
      </c>
      <c r="D27" s="1045" t="s">
        <v>733</v>
      </c>
      <c r="E27" s="1045"/>
      <c r="F27" s="622" t="s">
        <v>734</v>
      </c>
      <c r="G27" s="630" t="s">
        <v>735</v>
      </c>
      <c r="H27" s="622" t="s">
        <v>736</v>
      </c>
      <c r="I27" s="214"/>
    </row>
    <row r="28" spans="2:12" ht="154" x14ac:dyDescent="0.3">
      <c r="B28" s="211"/>
      <c r="C28" s="546" t="s">
        <v>737</v>
      </c>
      <c r="D28" s="1045" t="s">
        <v>738</v>
      </c>
      <c r="E28" s="1045"/>
      <c r="F28" s="622" t="s">
        <v>739</v>
      </c>
      <c r="G28" s="769" t="s">
        <v>1355</v>
      </c>
      <c r="H28" s="622" t="s">
        <v>740</v>
      </c>
      <c r="I28" s="214"/>
      <c r="L28" s="16"/>
    </row>
    <row r="29" spans="2:12" ht="25.5" customHeight="1" x14ac:dyDescent="0.3">
      <c r="B29" s="211"/>
      <c r="C29" s="1057" t="s">
        <v>741</v>
      </c>
      <c r="D29" s="1058" t="s">
        <v>742</v>
      </c>
      <c r="E29" s="1059"/>
      <c r="F29" s="1043" t="s">
        <v>743</v>
      </c>
      <c r="G29" s="1062" t="s">
        <v>744</v>
      </c>
      <c r="H29" s="1043" t="s">
        <v>745</v>
      </c>
      <c r="I29" s="214"/>
    </row>
    <row r="30" spans="2:12" ht="408.75" customHeight="1" x14ac:dyDescent="0.3">
      <c r="B30" s="211"/>
      <c r="C30" s="1057"/>
      <c r="D30" s="1060"/>
      <c r="E30" s="1061"/>
      <c r="F30" s="1044"/>
      <c r="G30" s="1063"/>
      <c r="H30" s="1044"/>
      <c r="I30" s="214"/>
    </row>
    <row r="31" spans="2:12" ht="299.25" customHeight="1" x14ac:dyDescent="0.3">
      <c r="B31" s="211"/>
      <c r="C31" s="546" t="s">
        <v>746</v>
      </c>
      <c r="D31" s="1048" t="s">
        <v>747</v>
      </c>
      <c r="E31" s="1048"/>
      <c r="F31" s="622" t="s">
        <v>748</v>
      </c>
      <c r="G31" s="631" t="s">
        <v>749</v>
      </c>
      <c r="H31" s="622" t="s">
        <v>750</v>
      </c>
      <c r="I31" s="214"/>
    </row>
    <row r="32" spans="2:12" ht="147.75" customHeight="1" x14ac:dyDescent="0.3">
      <c r="B32" s="211"/>
      <c r="C32" s="546" t="s">
        <v>751</v>
      </c>
      <c r="D32" s="1048" t="s">
        <v>752</v>
      </c>
      <c r="E32" s="1048"/>
      <c r="F32" s="622" t="s">
        <v>753</v>
      </c>
      <c r="G32" s="624" t="s">
        <v>754</v>
      </c>
      <c r="H32" s="622" t="s">
        <v>755</v>
      </c>
      <c r="I32" s="214"/>
    </row>
    <row r="33" spans="2:9" ht="140" x14ac:dyDescent="0.3">
      <c r="B33" s="211"/>
      <c r="C33" s="546" t="s">
        <v>751</v>
      </c>
      <c r="D33" s="1048" t="s">
        <v>756</v>
      </c>
      <c r="E33" s="1048"/>
      <c r="F33" s="622" t="s">
        <v>757</v>
      </c>
      <c r="G33" s="624" t="s">
        <v>758</v>
      </c>
      <c r="H33" s="622" t="s">
        <v>759</v>
      </c>
      <c r="I33" s="214"/>
    </row>
    <row r="34" spans="2:9" ht="84" x14ac:dyDescent="0.3">
      <c r="B34" s="211"/>
      <c r="C34" s="546" t="s">
        <v>760</v>
      </c>
      <c r="D34" s="1045" t="s">
        <v>761</v>
      </c>
      <c r="E34" s="1045"/>
      <c r="F34" s="622" t="s">
        <v>762</v>
      </c>
      <c r="G34" s="624" t="s">
        <v>763</v>
      </c>
      <c r="H34" s="622" t="s">
        <v>764</v>
      </c>
      <c r="I34" s="214"/>
    </row>
    <row r="35" spans="2:9" ht="225" customHeight="1" x14ac:dyDescent="0.3">
      <c r="B35" s="211"/>
      <c r="C35" s="546" t="s">
        <v>765</v>
      </c>
      <c r="D35" s="1048" t="s">
        <v>766</v>
      </c>
      <c r="E35" s="1048"/>
      <c r="F35" s="622" t="s">
        <v>767</v>
      </c>
      <c r="G35" s="762" t="s">
        <v>1339</v>
      </c>
      <c r="H35" s="622" t="s">
        <v>768</v>
      </c>
      <c r="I35" s="214"/>
    </row>
    <row r="36" spans="2:9" ht="196.5" thickBot="1" x14ac:dyDescent="0.35">
      <c r="B36" s="211"/>
      <c r="C36" s="236" t="s">
        <v>765</v>
      </c>
      <c r="D36" s="1047" t="s">
        <v>769</v>
      </c>
      <c r="E36" s="1047"/>
      <c r="F36" s="632" t="s">
        <v>770</v>
      </c>
      <c r="G36" s="633" t="s">
        <v>771</v>
      </c>
      <c r="H36" s="632" t="s">
        <v>772</v>
      </c>
      <c r="I36" s="214"/>
    </row>
    <row r="37" spans="2:9" ht="14.5" thickBot="1" x14ac:dyDescent="0.35">
      <c r="B37" s="237"/>
      <c r="C37" s="238"/>
      <c r="D37" s="238"/>
      <c r="E37" s="238"/>
      <c r="F37" s="238"/>
      <c r="G37" s="238"/>
      <c r="H37" s="238"/>
      <c r="I37" s="239"/>
    </row>
  </sheetData>
  <mergeCells count="41">
    <mergeCell ref="C29:C30"/>
    <mergeCell ref="D29:E30"/>
    <mergeCell ref="F29:F30"/>
    <mergeCell ref="G29:G30"/>
    <mergeCell ref="H29:H30"/>
    <mergeCell ref="C3:H3"/>
    <mergeCell ref="C4:H4"/>
    <mergeCell ref="C5:H5"/>
    <mergeCell ref="D7:E7"/>
    <mergeCell ref="D8:E8"/>
    <mergeCell ref="C6:D6"/>
    <mergeCell ref="D9:E9"/>
    <mergeCell ref="D10:E10"/>
    <mergeCell ref="D36:E36"/>
    <mergeCell ref="D23:E23"/>
    <mergeCell ref="D34:E34"/>
    <mergeCell ref="D35:E35"/>
    <mergeCell ref="D28:E28"/>
    <mergeCell ref="D26:E26"/>
    <mergeCell ref="D32:E32"/>
    <mergeCell ref="D33:E33"/>
    <mergeCell ref="D31:E31"/>
    <mergeCell ref="D21:E21"/>
    <mergeCell ref="D22:E22"/>
    <mergeCell ref="D24:E24"/>
    <mergeCell ref="D25:E25"/>
    <mergeCell ref="D11:E11"/>
    <mergeCell ref="D12:E12"/>
    <mergeCell ref="D13:E13"/>
    <mergeCell ref="D14:E14"/>
    <mergeCell ref="D15:E15"/>
    <mergeCell ref="D27:E27"/>
    <mergeCell ref="G14:G15"/>
    <mergeCell ref="G22:G24"/>
    <mergeCell ref="H23:H24"/>
    <mergeCell ref="D16:E16"/>
    <mergeCell ref="D17:E17"/>
    <mergeCell ref="D18:E18"/>
    <mergeCell ref="D19:E19"/>
    <mergeCell ref="D20:E20"/>
    <mergeCell ref="G17:G18"/>
  </mergeCells>
  <pageMargins left="0.25" right="0.25" top="0.17" bottom="0.17" header="0.17" footer="0.17"/>
  <pageSetup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1:S286"/>
  <sheetViews>
    <sheetView showGridLines="0" zoomScale="55" zoomScaleNormal="55" workbookViewId="0">
      <selection activeCell="H1" sqref="H1"/>
    </sheetView>
  </sheetViews>
  <sheetFormatPr defaultColWidth="9.1796875" defaultRowHeight="14.5" x14ac:dyDescent="0.35"/>
  <cols>
    <col min="1" max="1" width="3" style="94" customWidth="1"/>
    <col min="2" max="2" width="28.54296875" style="94" customWidth="1"/>
    <col min="3" max="3" width="50.54296875" style="94" customWidth="1"/>
    <col min="4" max="4" width="34.26953125" style="94" customWidth="1"/>
    <col min="5" max="5" width="32" style="94" customWidth="1"/>
    <col min="6" max="6" width="26.7265625" style="94" customWidth="1"/>
    <col min="7" max="7" width="26.453125" style="94" bestFit="1" customWidth="1"/>
    <col min="8" max="8" width="30" style="94" customWidth="1"/>
    <col min="9" max="9" width="26.1796875" style="94" customWidth="1"/>
    <col min="10" max="10" width="25.81640625" style="94" customWidth="1"/>
    <col min="11" max="11" width="31" style="94" bestFit="1" customWidth="1"/>
    <col min="12" max="12" width="30.26953125" style="94" customWidth="1"/>
    <col min="13" max="13" width="27.1796875" style="94" bestFit="1" customWidth="1"/>
    <col min="14" max="14" width="25" style="94" customWidth="1"/>
    <col min="15" max="15" width="25.81640625" style="94" bestFit="1" customWidth="1"/>
    <col min="16" max="16" width="30.26953125" style="94" customWidth="1"/>
    <col min="17" max="17" width="27.1796875" style="94" bestFit="1" customWidth="1"/>
    <col min="18" max="18" width="24.26953125" style="94" customWidth="1"/>
    <col min="19" max="19" width="23.1796875" style="94" bestFit="1" customWidth="1"/>
    <col min="20" max="20" width="27.7265625" style="94" customWidth="1"/>
    <col min="21" max="16384" width="9.1796875" style="94"/>
  </cols>
  <sheetData>
    <row r="1" spans="2:19" ht="15" thickBot="1" x14ac:dyDescent="0.4"/>
    <row r="2" spans="2:19" ht="26" x14ac:dyDescent="0.35">
      <c r="B2" s="68"/>
      <c r="C2" s="1106"/>
      <c r="D2" s="1106"/>
      <c r="E2" s="1106"/>
      <c r="F2" s="1106"/>
      <c r="G2" s="1106"/>
      <c r="H2" s="63"/>
      <c r="I2" s="63"/>
      <c r="J2" s="63"/>
      <c r="K2" s="63"/>
      <c r="L2" s="63"/>
      <c r="M2" s="63"/>
      <c r="N2" s="63"/>
      <c r="O2" s="63"/>
      <c r="P2" s="63"/>
      <c r="Q2" s="63"/>
      <c r="R2" s="63"/>
      <c r="S2" s="64"/>
    </row>
    <row r="3" spans="2:19" ht="26" x14ac:dyDescent="0.35">
      <c r="B3" s="69"/>
      <c r="C3" s="1112" t="s">
        <v>773</v>
      </c>
      <c r="D3" s="1113"/>
      <c r="E3" s="1113"/>
      <c r="F3" s="1113"/>
      <c r="G3" s="1114"/>
      <c r="H3" s="66"/>
      <c r="I3" s="66"/>
      <c r="J3" s="66"/>
      <c r="K3" s="66"/>
      <c r="L3" s="66"/>
      <c r="M3" s="66"/>
      <c r="N3" s="66"/>
      <c r="O3" s="66"/>
      <c r="P3" s="66"/>
      <c r="Q3" s="66"/>
      <c r="R3" s="66"/>
      <c r="S3" s="67"/>
    </row>
    <row r="4" spans="2:19" ht="26" x14ac:dyDescent="0.35">
      <c r="B4" s="69"/>
      <c r="C4" s="70"/>
      <c r="D4" s="70"/>
      <c r="E4" s="70"/>
      <c r="F4" s="70"/>
      <c r="G4" s="70"/>
      <c r="H4" s="66"/>
      <c r="I4" s="66"/>
      <c r="J4" s="66"/>
      <c r="K4" s="66"/>
      <c r="L4" s="66"/>
      <c r="M4" s="66"/>
      <c r="N4" s="66"/>
      <c r="O4" s="66"/>
      <c r="P4" s="66"/>
      <c r="Q4" s="66"/>
      <c r="R4" s="66"/>
      <c r="S4" s="67"/>
    </row>
    <row r="5" spans="2:19" ht="15" thickBot="1" x14ac:dyDescent="0.4">
      <c r="B5" s="65"/>
      <c r="C5" s="66"/>
      <c r="D5" s="66"/>
      <c r="E5" s="66"/>
      <c r="F5" s="66"/>
      <c r="G5" s="66"/>
      <c r="H5" s="66"/>
      <c r="I5" s="66"/>
      <c r="J5" s="66"/>
      <c r="K5" s="66"/>
      <c r="L5" s="66"/>
      <c r="M5" s="66"/>
      <c r="N5" s="66"/>
      <c r="O5" s="66"/>
      <c r="P5" s="66"/>
      <c r="Q5" s="66"/>
      <c r="R5" s="66"/>
      <c r="S5" s="67"/>
    </row>
    <row r="6" spans="2:19" ht="16.5" customHeight="1" thickBot="1" x14ac:dyDescent="0.4">
      <c r="B6" s="1107" t="s">
        <v>774</v>
      </c>
      <c r="C6" s="1108"/>
      <c r="D6" s="1108"/>
      <c r="E6" s="1108"/>
      <c r="F6" s="1108"/>
      <c r="G6" s="1108"/>
      <c r="H6" s="112"/>
      <c r="I6" s="112"/>
      <c r="J6" s="112"/>
      <c r="K6" s="112"/>
      <c r="L6" s="112"/>
      <c r="M6" s="112"/>
      <c r="N6" s="112"/>
      <c r="O6" s="112"/>
      <c r="P6" s="112"/>
      <c r="Q6" s="112"/>
      <c r="R6" s="112"/>
      <c r="S6" s="113"/>
    </row>
    <row r="7" spans="2:19" ht="15.75" customHeight="1" x14ac:dyDescent="0.35">
      <c r="B7" s="1107" t="s">
        <v>775</v>
      </c>
      <c r="C7" s="1109"/>
      <c r="D7" s="1109"/>
      <c r="E7" s="1109"/>
      <c r="F7" s="1109"/>
      <c r="G7" s="1109"/>
      <c r="H7" s="112"/>
      <c r="I7" s="112"/>
      <c r="J7" s="112"/>
      <c r="K7" s="112"/>
      <c r="L7" s="112"/>
      <c r="M7" s="112"/>
      <c r="N7" s="112"/>
      <c r="O7" s="112"/>
      <c r="P7" s="112"/>
      <c r="Q7" s="112"/>
      <c r="R7" s="112"/>
      <c r="S7" s="113"/>
    </row>
    <row r="8" spans="2:19" ht="15.75" customHeight="1" thickBot="1" x14ac:dyDescent="0.4">
      <c r="B8" s="1110" t="s">
        <v>776</v>
      </c>
      <c r="C8" s="1111"/>
      <c r="D8" s="1111"/>
      <c r="E8" s="1111"/>
      <c r="F8" s="1111"/>
      <c r="G8" s="1111"/>
      <c r="H8" s="114"/>
      <c r="I8" s="114"/>
      <c r="J8" s="114"/>
      <c r="K8" s="114"/>
      <c r="L8" s="114"/>
      <c r="M8" s="114"/>
      <c r="N8" s="114"/>
      <c r="O8" s="114"/>
      <c r="P8" s="114"/>
      <c r="Q8" s="114"/>
      <c r="R8" s="114"/>
      <c r="S8" s="115"/>
    </row>
    <row r="10" spans="2:19" ht="21" x14ac:dyDescent="0.5">
      <c r="B10" s="1064" t="s">
        <v>777</v>
      </c>
      <c r="C10" s="1064"/>
    </row>
    <row r="11" spans="2:19" ht="15" thickBot="1" x14ac:dyDescent="0.4"/>
    <row r="12" spans="2:19" ht="15" thickBot="1" x14ac:dyDescent="0.4">
      <c r="B12" s="116" t="s">
        <v>778</v>
      </c>
      <c r="C12" s="95"/>
    </row>
    <row r="13" spans="2:19" ht="15" thickBot="1" x14ac:dyDescent="0.4">
      <c r="B13" s="116" t="s">
        <v>100</v>
      </c>
      <c r="C13" s="95" t="s">
        <v>779</v>
      </c>
    </row>
    <row r="14" spans="2:19" ht="15" thickBot="1" x14ac:dyDescent="0.4">
      <c r="B14" s="116" t="s">
        <v>780</v>
      </c>
      <c r="C14" s="95" t="s">
        <v>781</v>
      </c>
    </row>
    <row r="15" spans="2:19" ht="15" thickBot="1" x14ac:dyDescent="0.4">
      <c r="B15" s="116" t="s">
        <v>782</v>
      </c>
      <c r="C15" s="95" t="s">
        <v>39</v>
      </c>
    </row>
    <row r="16" spans="2:19" ht="15" thickBot="1" x14ac:dyDescent="0.4">
      <c r="B16" s="116" t="s">
        <v>783</v>
      </c>
      <c r="C16" s="95" t="s">
        <v>784</v>
      </c>
    </row>
    <row r="17" spans="2:19" ht="15" thickBot="1" x14ac:dyDescent="0.4">
      <c r="B17" s="116" t="s">
        <v>785</v>
      </c>
      <c r="C17" s="95" t="s">
        <v>786</v>
      </c>
    </row>
    <row r="18" spans="2:19" ht="15" thickBot="1" x14ac:dyDescent="0.4"/>
    <row r="19" spans="2:19" ht="15" thickBot="1" x14ac:dyDescent="0.4">
      <c r="D19" s="1065" t="s">
        <v>787</v>
      </c>
      <c r="E19" s="1066"/>
      <c r="F19" s="1066"/>
      <c r="G19" s="1067"/>
      <c r="H19" s="1065" t="s">
        <v>788</v>
      </c>
      <c r="I19" s="1066"/>
      <c r="J19" s="1066"/>
      <c r="K19" s="1067"/>
      <c r="L19" s="1065" t="s">
        <v>789</v>
      </c>
      <c r="M19" s="1066"/>
      <c r="N19" s="1066"/>
      <c r="O19" s="1067"/>
      <c r="P19" s="1065" t="s">
        <v>790</v>
      </c>
      <c r="Q19" s="1066"/>
      <c r="R19" s="1066"/>
      <c r="S19" s="1067"/>
    </row>
    <row r="20" spans="2:19" ht="24.75" customHeight="1" thickBot="1" x14ac:dyDescent="0.4">
      <c r="B20" s="1068" t="s">
        <v>791</v>
      </c>
      <c r="C20" s="1071" t="s">
        <v>792</v>
      </c>
      <c r="D20" s="96"/>
      <c r="E20" s="297" t="s">
        <v>793</v>
      </c>
      <c r="F20" s="634" t="s">
        <v>794</v>
      </c>
      <c r="G20" s="97" t="s">
        <v>795</v>
      </c>
      <c r="H20" s="96"/>
      <c r="I20" s="297" t="s">
        <v>793</v>
      </c>
      <c r="J20" s="634" t="s">
        <v>794</v>
      </c>
      <c r="K20" s="97" t="s">
        <v>795</v>
      </c>
      <c r="L20" s="96"/>
      <c r="M20" s="297" t="s">
        <v>793</v>
      </c>
      <c r="N20" s="634" t="s">
        <v>794</v>
      </c>
      <c r="O20" s="97" t="s">
        <v>795</v>
      </c>
      <c r="P20" s="96"/>
      <c r="Q20" s="297" t="s">
        <v>793</v>
      </c>
      <c r="R20" s="634" t="s">
        <v>794</v>
      </c>
      <c r="S20" s="97" t="s">
        <v>795</v>
      </c>
    </row>
    <row r="21" spans="2:19" x14ac:dyDescent="0.35">
      <c r="B21" s="1069"/>
      <c r="C21" s="1072"/>
      <c r="D21" s="98" t="s">
        <v>315</v>
      </c>
      <c r="E21" s="635">
        <v>200000</v>
      </c>
      <c r="F21" s="635">
        <v>60000</v>
      </c>
      <c r="G21" s="636">
        <v>140000</v>
      </c>
      <c r="H21" s="99" t="s">
        <v>315</v>
      </c>
      <c r="I21" s="635">
        <v>200000</v>
      </c>
      <c r="J21" s="635">
        <v>60000</v>
      </c>
      <c r="K21" s="636">
        <v>140000</v>
      </c>
      <c r="L21" s="98" t="s">
        <v>315</v>
      </c>
      <c r="M21" s="637">
        <f>+N21+O21</f>
        <v>28116</v>
      </c>
      <c r="N21" s="637">
        <v>8516</v>
      </c>
      <c r="O21" s="637">
        <v>19600</v>
      </c>
      <c r="P21" s="98" t="s">
        <v>315</v>
      </c>
      <c r="Q21" s="638">
        <f>+R21+S21</f>
        <v>155772</v>
      </c>
      <c r="R21" s="638">
        <f>12693*4</f>
        <v>50772</v>
      </c>
      <c r="S21" s="637">
        <v>105000</v>
      </c>
    </row>
    <row r="22" spans="2:19" x14ac:dyDescent="0.35">
      <c r="B22" s="1069"/>
      <c r="C22" s="1072"/>
      <c r="D22" s="639" t="s">
        <v>796</v>
      </c>
      <c r="E22" s="640">
        <v>0.5</v>
      </c>
      <c r="F22" s="640">
        <v>0.5</v>
      </c>
      <c r="G22" s="641">
        <v>0.5</v>
      </c>
      <c r="H22" s="298" t="s">
        <v>796</v>
      </c>
      <c r="I22" s="640">
        <v>0.5</v>
      </c>
      <c r="J22" s="640">
        <v>0.5</v>
      </c>
      <c r="K22" s="641">
        <v>0.5</v>
      </c>
      <c r="L22" s="639" t="s">
        <v>796</v>
      </c>
      <c r="M22" s="640">
        <v>0.5</v>
      </c>
      <c r="N22" s="641">
        <v>0.53</v>
      </c>
      <c r="O22" s="641">
        <v>0.5</v>
      </c>
      <c r="P22" s="639" t="s">
        <v>796</v>
      </c>
      <c r="Q22" s="642">
        <v>0.52</v>
      </c>
      <c r="R22" s="642">
        <v>0.53</v>
      </c>
      <c r="S22" s="643">
        <v>0.5</v>
      </c>
    </row>
    <row r="23" spans="2:19" x14ac:dyDescent="0.35">
      <c r="B23" s="1070"/>
      <c r="C23" s="1073"/>
      <c r="D23" s="639" t="s">
        <v>797</v>
      </c>
      <c r="E23" s="640">
        <v>0.3</v>
      </c>
      <c r="F23" s="640">
        <v>0.3</v>
      </c>
      <c r="G23" s="641">
        <v>0.3</v>
      </c>
      <c r="H23" s="298" t="s">
        <v>797</v>
      </c>
      <c r="I23" s="640">
        <v>0.3</v>
      </c>
      <c r="J23" s="640">
        <v>0.3</v>
      </c>
      <c r="K23" s="641">
        <v>0.3</v>
      </c>
      <c r="L23" s="639" t="s">
        <v>797</v>
      </c>
      <c r="M23" s="640"/>
      <c r="N23" s="640"/>
      <c r="O23" s="641"/>
      <c r="P23" s="639" t="s">
        <v>797</v>
      </c>
      <c r="Q23" s="642"/>
      <c r="R23" s="642"/>
      <c r="S23" s="643"/>
    </row>
    <row r="24" spans="2:19" ht="15" thickBot="1" x14ac:dyDescent="0.4">
      <c r="B24" s="100"/>
      <c r="C24" s="100"/>
      <c r="Q24" s="101"/>
      <c r="R24" s="101"/>
      <c r="S24" s="101"/>
    </row>
    <row r="25" spans="2:19" ht="15" thickBot="1" x14ac:dyDescent="0.4">
      <c r="B25" s="100"/>
      <c r="C25" s="100"/>
      <c r="D25" s="1065" t="s">
        <v>787</v>
      </c>
      <c r="E25" s="1066"/>
      <c r="F25" s="1066"/>
      <c r="G25" s="1067"/>
      <c r="H25" s="1065" t="s">
        <v>788</v>
      </c>
      <c r="I25" s="1066"/>
      <c r="J25" s="1066"/>
      <c r="K25" s="1067"/>
      <c r="L25" s="1065" t="s">
        <v>789</v>
      </c>
      <c r="M25" s="1066"/>
      <c r="N25" s="1066"/>
      <c r="O25" s="1067"/>
      <c r="P25" s="1065" t="s">
        <v>790</v>
      </c>
      <c r="Q25" s="1066"/>
      <c r="R25" s="1066"/>
      <c r="S25" s="1067"/>
    </row>
    <row r="26" spans="2:19" ht="24" customHeight="1" x14ac:dyDescent="0.35">
      <c r="B26" s="1068" t="s">
        <v>798</v>
      </c>
      <c r="C26" s="1068" t="s">
        <v>799</v>
      </c>
      <c r="D26" s="1090" t="s">
        <v>800</v>
      </c>
      <c r="E26" s="1091"/>
      <c r="F26" s="644" t="s">
        <v>801</v>
      </c>
      <c r="G26" s="645" t="s">
        <v>802</v>
      </c>
      <c r="H26" s="1090" t="s">
        <v>800</v>
      </c>
      <c r="I26" s="1091"/>
      <c r="J26" s="644" t="s">
        <v>801</v>
      </c>
      <c r="K26" s="645" t="s">
        <v>802</v>
      </c>
      <c r="L26" s="1090" t="s">
        <v>800</v>
      </c>
      <c r="M26" s="1091"/>
      <c r="N26" s="644" t="s">
        <v>801</v>
      </c>
      <c r="O26" s="645" t="s">
        <v>802</v>
      </c>
      <c r="P26" s="1090" t="s">
        <v>800</v>
      </c>
      <c r="Q26" s="1091"/>
      <c r="R26" s="644" t="s">
        <v>801</v>
      </c>
      <c r="S26" s="645" t="s">
        <v>802</v>
      </c>
    </row>
    <row r="27" spans="2:19" x14ac:dyDescent="0.35">
      <c r="B27" s="1069"/>
      <c r="C27" s="1069"/>
      <c r="D27" s="646" t="s">
        <v>315</v>
      </c>
      <c r="E27" s="635">
        <v>15000</v>
      </c>
      <c r="F27" s="1084" t="s">
        <v>803</v>
      </c>
      <c r="G27" s="1086" t="s">
        <v>804</v>
      </c>
      <c r="H27" s="646" t="s">
        <v>315</v>
      </c>
      <c r="I27" s="635">
        <v>15000</v>
      </c>
      <c r="J27" s="1088" t="s">
        <v>803</v>
      </c>
      <c r="K27" s="1097" t="s">
        <v>805</v>
      </c>
      <c r="L27" s="646" t="s">
        <v>315</v>
      </c>
      <c r="M27" s="637">
        <v>15000</v>
      </c>
      <c r="N27" s="1088" t="s">
        <v>803</v>
      </c>
      <c r="O27" s="1097" t="s">
        <v>805</v>
      </c>
      <c r="P27" s="646" t="s">
        <v>315</v>
      </c>
      <c r="Q27" s="638">
        <v>12693</v>
      </c>
      <c r="R27" s="1088" t="s">
        <v>803</v>
      </c>
      <c r="S27" s="1097" t="s">
        <v>805</v>
      </c>
    </row>
    <row r="28" spans="2:19" x14ac:dyDescent="0.35">
      <c r="B28" s="1070"/>
      <c r="C28" s="1070"/>
      <c r="D28" s="647" t="s">
        <v>806</v>
      </c>
      <c r="E28" s="640">
        <v>0.5</v>
      </c>
      <c r="F28" s="1085"/>
      <c r="G28" s="1087"/>
      <c r="H28" s="647" t="s">
        <v>806</v>
      </c>
      <c r="I28" s="640">
        <v>0.5</v>
      </c>
      <c r="J28" s="1089"/>
      <c r="K28" s="1098"/>
      <c r="L28" s="647" t="s">
        <v>806</v>
      </c>
      <c r="M28" s="640">
        <v>0.5</v>
      </c>
      <c r="N28" s="1089"/>
      <c r="O28" s="1098"/>
      <c r="P28" s="647" t="s">
        <v>806</v>
      </c>
      <c r="Q28" s="642">
        <v>0.53</v>
      </c>
      <c r="R28" s="1089"/>
      <c r="S28" s="1098"/>
    </row>
    <row r="29" spans="2:19" ht="36" customHeight="1" x14ac:dyDescent="0.35">
      <c r="B29" s="1092" t="s">
        <v>807</v>
      </c>
      <c r="C29" s="1094" t="s">
        <v>808</v>
      </c>
      <c r="D29" s="549" t="s">
        <v>809</v>
      </c>
      <c r="E29" s="648" t="s">
        <v>785</v>
      </c>
      <c r="F29" s="648" t="s">
        <v>810</v>
      </c>
      <c r="G29" s="649" t="s">
        <v>811</v>
      </c>
      <c r="H29" s="549" t="s">
        <v>809</v>
      </c>
      <c r="I29" s="648" t="s">
        <v>785</v>
      </c>
      <c r="J29" s="648" t="s">
        <v>810</v>
      </c>
      <c r="K29" s="649" t="s">
        <v>811</v>
      </c>
      <c r="L29" s="549" t="s">
        <v>809</v>
      </c>
      <c r="M29" s="648" t="s">
        <v>785</v>
      </c>
      <c r="N29" s="648" t="s">
        <v>810</v>
      </c>
      <c r="O29" s="649" t="s">
        <v>811</v>
      </c>
      <c r="P29" s="549" t="s">
        <v>809</v>
      </c>
      <c r="Q29" s="648" t="s">
        <v>785</v>
      </c>
      <c r="R29" s="648" t="s">
        <v>810</v>
      </c>
      <c r="S29" s="649" t="s">
        <v>811</v>
      </c>
    </row>
    <row r="30" spans="2:19" ht="36" customHeight="1" x14ac:dyDescent="0.35">
      <c r="B30" s="1093"/>
      <c r="C30" s="1095"/>
      <c r="D30" s="305">
        <v>50</v>
      </c>
      <c r="E30" s="650" t="s">
        <v>786</v>
      </c>
      <c r="F30" s="650" t="s">
        <v>812</v>
      </c>
      <c r="G30" s="651" t="s">
        <v>813</v>
      </c>
      <c r="H30" s="652">
        <v>45</v>
      </c>
      <c r="I30" s="306" t="s">
        <v>786</v>
      </c>
      <c r="J30" s="652" t="s">
        <v>812</v>
      </c>
      <c r="K30" s="653" t="s">
        <v>813</v>
      </c>
      <c r="L30" s="652">
        <v>45</v>
      </c>
      <c r="M30" s="306" t="s">
        <v>786</v>
      </c>
      <c r="N30" s="652" t="s">
        <v>812</v>
      </c>
      <c r="O30" s="653" t="s">
        <v>813</v>
      </c>
      <c r="P30" s="652">
        <v>45</v>
      </c>
      <c r="Q30" s="306" t="s">
        <v>786</v>
      </c>
      <c r="R30" s="652" t="s">
        <v>812</v>
      </c>
      <c r="S30" s="653" t="s">
        <v>813</v>
      </c>
    </row>
    <row r="31" spans="2:19" x14ac:dyDescent="0.35">
      <c r="B31" s="1092" t="s">
        <v>814</v>
      </c>
      <c r="C31" s="1092" t="s">
        <v>815</v>
      </c>
      <c r="D31" s="648" t="s">
        <v>816</v>
      </c>
      <c r="E31" s="648" t="s">
        <v>817</v>
      </c>
      <c r="F31" s="634" t="s">
        <v>818</v>
      </c>
      <c r="G31" s="654" t="s">
        <v>803</v>
      </c>
      <c r="H31" s="648" t="s">
        <v>816</v>
      </c>
      <c r="I31" s="648" t="s">
        <v>817</v>
      </c>
      <c r="J31" s="634" t="s">
        <v>818</v>
      </c>
      <c r="K31" s="655" t="s">
        <v>803</v>
      </c>
      <c r="L31" s="648" t="s">
        <v>816</v>
      </c>
      <c r="M31" s="648" t="s">
        <v>817</v>
      </c>
      <c r="N31" s="634" t="s">
        <v>818</v>
      </c>
      <c r="O31" s="655" t="s">
        <v>803</v>
      </c>
      <c r="P31" s="648" t="s">
        <v>816</v>
      </c>
      <c r="Q31" s="648" t="s">
        <v>817</v>
      </c>
      <c r="R31" s="634" t="s">
        <v>818</v>
      </c>
      <c r="S31" s="655" t="s">
        <v>803</v>
      </c>
    </row>
    <row r="32" spans="2:19" x14ac:dyDescent="0.35">
      <c r="B32" s="1093"/>
      <c r="C32" s="1093"/>
      <c r="D32" s="1078">
        <v>0</v>
      </c>
      <c r="E32" s="1078" t="s">
        <v>819</v>
      </c>
      <c r="F32" s="634" t="s">
        <v>820</v>
      </c>
      <c r="G32" s="307" t="s">
        <v>812</v>
      </c>
      <c r="H32" s="1074">
        <v>0</v>
      </c>
      <c r="I32" s="1076" t="s">
        <v>819</v>
      </c>
      <c r="J32" s="634" t="s">
        <v>820</v>
      </c>
      <c r="K32" s="308" t="s">
        <v>812</v>
      </c>
      <c r="L32" s="1074">
        <v>1</v>
      </c>
      <c r="M32" s="1076" t="s">
        <v>819</v>
      </c>
      <c r="N32" s="634" t="s">
        <v>820</v>
      </c>
      <c r="O32" s="308" t="s">
        <v>812</v>
      </c>
      <c r="P32" s="1074">
        <v>1</v>
      </c>
      <c r="Q32" s="1076" t="s">
        <v>819</v>
      </c>
      <c r="R32" s="634" t="s">
        <v>820</v>
      </c>
      <c r="S32" s="308" t="s">
        <v>812</v>
      </c>
    </row>
    <row r="33" spans="2:19" x14ac:dyDescent="0.35">
      <c r="B33" s="1093"/>
      <c r="C33" s="1093"/>
      <c r="D33" s="1079"/>
      <c r="E33" s="1079"/>
      <c r="F33" s="634" t="s">
        <v>821</v>
      </c>
      <c r="G33" s="656">
        <v>39</v>
      </c>
      <c r="H33" s="1075"/>
      <c r="I33" s="1077"/>
      <c r="J33" s="634" t="s">
        <v>821</v>
      </c>
      <c r="K33" s="657">
        <v>39</v>
      </c>
      <c r="L33" s="1075"/>
      <c r="M33" s="1077"/>
      <c r="N33" s="634" t="s">
        <v>821</v>
      </c>
      <c r="O33" s="657">
        <v>39</v>
      </c>
      <c r="P33" s="1075"/>
      <c r="Q33" s="1077"/>
      <c r="R33" s="634" t="s">
        <v>821</v>
      </c>
      <c r="S33" s="657">
        <v>39</v>
      </c>
    </row>
    <row r="34" spans="2:19" x14ac:dyDescent="0.35">
      <c r="B34" s="1093"/>
      <c r="C34" s="1093"/>
      <c r="D34" s="648" t="s">
        <v>816</v>
      </c>
      <c r="E34" s="648" t="s">
        <v>817</v>
      </c>
      <c r="F34" s="634" t="s">
        <v>818</v>
      </c>
      <c r="G34" s="654"/>
      <c r="H34" s="648" t="s">
        <v>816</v>
      </c>
      <c r="I34" s="648" t="s">
        <v>817</v>
      </c>
      <c r="J34" s="634" t="s">
        <v>818</v>
      </c>
      <c r="K34" s="655" t="s">
        <v>803</v>
      </c>
      <c r="L34" s="648" t="s">
        <v>816</v>
      </c>
      <c r="M34" s="648" t="s">
        <v>817</v>
      </c>
      <c r="N34" s="634" t="s">
        <v>818</v>
      </c>
      <c r="O34" s="655" t="s">
        <v>803</v>
      </c>
      <c r="P34" s="648" t="s">
        <v>816</v>
      </c>
      <c r="Q34" s="648" t="s">
        <v>817</v>
      </c>
      <c r="R34" s="634" t="s">
        <v>818</v>
      </c>
      <c r="S34" s="655" t="s">
        <v>803</v>
      </c>
    </row>
    <row r="35" spans="2:19" x14ac:dyDescent="0.35">
      <c r="B35" s="1093"/>
      <c r="C35" s="1093"/>
      <c r="D35" s="1078">
        <v>0</v>
      </c>
      <c r="E35" s="1078" t="s">
        <v>822</v>
      </c>
      <c r="F35" s="634" t="s">
        <v>820</v>
      </c>
      <c r="G35" s="307" t="s">
        <v>812</v>
      </c>
      <c r="H35" s="1074">
        <v>0</v>
      </c>
      <c r="I35" s="1074" t="s">
        <v>822</v>
      </c>
      <c r="J35" s="634" t="s">
        <v>820</v>
      </c>
      <c r="K35" s="308" t="s">
        <v>812</v>
      </c>
      <c r="L35" s="1074">
        <v>1</v>
      </c>
      <c r="M35" s="1074" t="s">
        <v>822</v>
      </c>
      <c r="N35" s="634" t="s">
        <v>820</v>
      </c>
      <c r="O35" s="308" t="s">
        <v>812</v>
      </c>
      <c r="P35" s="1074">
        <v>1</v>
      </c>
      <c r="Q35" s="1074" t="s">
        <v>822</v>
      </c>
      <c r="R35" s="634" t="s">
        <v>820</v>
      </c>
      <c r="S35" s="308" t="s">
        <v>812</v>
      </c>
    </row>
    <row r="36" spans="2:19" x14ac:dyDescent="0.35">
      <c r="B36" s="1096"/>
      <c r="C36" s="1096"/>
      <c r="D36" s="1079"/>
      <c r="E36" s="1079"/>
      <c r="F36" s="634" t="s">
        <v>821</v>
      </c>
      <c r="G36" s="656">
        <v>13</v>
      </c>
      <c r="H36" s="1075"/>
      <c r="I36" s="1075"/>
      <c r="J36" s="634" t="s">
        <v>821</v>
      </c>
      <c r="K36" s="657">
        <v>13</v>
      </c>
      <c r="L36" s="1075"/>
      <c r="M36" s="1075"/>
      <c r="N36" s="634" t="s">
        <v>821</v>
      </c>
      <c r="O36" s="657">
        <v>13</v>
      </c>
      <c r="P36" s="1075"/>
      <c r="Q36" s="1075"/>
      <c r="R36" s="634" t="s">
        <v>821</v>
      </c>
      <c r="S36" s="657">
        <v>13</v>
      </c>
    </row>
    <row r="37" spans="2:19" ht="15" thickBot="1" x14ac:dyDescent="0.4">
      <c r="C37" s="102"/>
      <c r="D37" s="103"/>
    </row>
    <row r="38" spans="2:19" ht="15" thickBot="1" x14ac:dyDescent="0.4">
      <c r="D38" s="1065" t="s">
        <v>787</v>
      </c>
      <c r="E38" s="1066"/>
      <c r="F38" s="1066"/>
      <c r="G38" s="1067"/>
      <c r="H38" s="1065" t="s">
        <v>788</v>
      </c>
      <c r="I38" s="1066"/>
      <c r="J38" s="1066"/>
      <c r="K38" s="1067"/>
      <c r="L38" s="1065" t="s">
        <v>789</v>
      </c>
      <c r="M38" s="1066"/>
      <c r="N38" s="1066"/>
      <c r="O38" s="1067"/>
      <c r="P38" s="1065" t="s">
        <v>790</v>
      </c>
      <c r="Q38" s="1066"/>
      <c r="R38" s="1066"/>
      <c r="S38" s="1067"/>
    </row>
    <row r="39" spans="2:19" x14ac:dyDescent="0.35">
      <c r="B39" s="1068" t="s">
        <v>823</v>
      </c>
      <c r="C39" s="1068" t="s">
        <v>824</v>
      </c>
      <c r="D39" s="1080" t="s">
        <v>825</v>
      </c>
      <c r="E39" s="1120"/>
      <c r="F39" s="658" t="s">
        <v>785</v>
      </c>
      <c r="G39" s="104" t="s">
        <v>826</v>
      </c>
      <c r="H39" s="1080" t="s">
        <v>825</v>
      </c>
      <c r="I39" s="1120"/>
      <c r="J39" s="658" t="s">
        <v>785</v>
      </c>
      <c r="K39" s="104" t="s">
        <v>826</v>
      </c>
      <c r="L39" s="1080" t="s">
        <v>825</v>
      </c>
      <c r="M39" s="1120"/>
      <c r="N39" s="658" t="s">
        <v>785</v>
      </c>
      <c r="O39" s="104" t="s">
        <v>826</v>
      </c>
      <c r="P39" s="1080" t="s">
        <v>825</v>
      </c>
      <c r="Q39" s="1120"/>
      <c r="R39" s="658" t="s">
        <v>785</v>
      </c>
      <c r="S39" s="104" t="s">
        <v>826</v>
      </c>
    </row>
    <row r="40" spans="2:19" x14ac:dyDescent="0.35">
      <c r="B40" s="1069"/>
      <c r="C40" s="1069"/>
      <c r="D40" s="646" t="s">
        <v>315</v>
      </c>
      <c r="E40" s="635">
        <v>100</v>
      </c>
      <c r="F40" s="1084" t="s">
        <v>786</v>
      </c>
      <c r="G40" s="1086" t="s">
        <v>827</v>
      </c>
      <c r="H40" s="646" t="s">
        <v>315</v>
      </c>
      <c r="I40" s="635">
        <v>100</v>
      </c>
      <c r="J40" s="1088" t="s">
        <v>786</v>
      </c>
      <c r="K40" s="1097" t="s">
        <v>828</v>
      </c>
      <c r="L40" s="646" t="s">
        <v>315</v>
      </c>
      <c r="M40" s="635">
        <v>100</v>
      </c>
      <c r="N40" s="1088" t="s">
        <v>786</v>
      </c>
      <c r="O40" s="1097" t="s">
        <v>829</v>
      </c>
      <c r="P40" s="646" t="s">
        <v>315</v>
      </c>
      <c r="Q40" s="635">
        <v>100</v>
      </c>
      <c r="R40" s="1088" t="s">
        <v>786</v>
      </c>
      <c r="S40" s="1097" t="s">
        <v>830</v>
      </c>
    </row>
    <row r="41" spans="2:19" x14ac:dyDescent="0.35">
      <c r="B41" s="1070"/>
      <c r="C41" s="1070"/>
      <c r="D41" s="647" t="s">
        <v>806</v>
      </c>
      <c r="E41" s="640">
        <v>0.3</v>
      </c>
      <c r="F41" s="1085"/>
      <c r="G41" s="1087"/>
      <c r="H41" s="647" t="s">
        <v>806</v>
      </c>
      <c r="I41" s="640">
        <v>0.3</v>
      </c>
      <c r="J41" s="1089"/>
      <c r="K41" s="1098"/>
      <c r="L41" s="647" t="s">
        <v>806</v>
      </c>
      <c r="M41" s="640">
        <v>0.3</v>
      </c>
      <c r="N41" s="1089"/>
      <c r="O41" s="1098"/>
      <c r="P41" s="647" t="s">
        <v>806</v>
      </c>
      <c r="Q41" s="640">
        <v>0.3</v>
      </c>
      <c r="R41" s="1089"/>
      <c r="S41" s="1098"/>
    </row>
    <row r="42" spans="2:19" x14ac:dyDescent="0.35">
      <c r="B42" s="1092" t="s">
        <v>831</v>
      </c>
      <c r="C42" s="1092" t="s">
        <v>832</v>
      </c>
      <c r="D42" s="648" t="s">
        <v>833</v>
      </c>
      <c r="E42" s="551" t="s">
        <v>834</v>
      </c>
      <c r="F42" s="1116" t="s">
        <v>835</v>
      </c>
      <c r="G42" s="1117"/>
      <c r="H42" s="648" t="s">
        <v>833</v>
      </c>
      <c r="I42" s="551" t="s">
        <v>834</v>
      </c>
      <c r="J42" s="1116" t="s">
        <v>835</v>
      </c>
      <c r="K42" s="1117"/>
      <c r="L42" s="648" t="s">
        <v>833</v>
      </c>
      <c r="M42" s="551" t="s">
        <v>834</v>
      </c>
      <c r="N42" s="1116" t="s">
        <v>835</v>
      </c>
      <c r="O42" s="1117"/>
      <c r="P42" s="648" t="s">
        <v>833</v>
      </c>
      <c r="Q42" s="551" t="s">
        <v>834</v>
      </c>
      <c r="R42" s="1116" t="s">
        <v>835</v>
      </c>
      <c r="S42" s="1117"/>
    </row>
    <row r="43" spans="2:19" x14ac:dyDescent="0.35">
      <c r="B43" s="1093"/>
      <c r="C43" s="1096"/>
      <c r="D43" s="635">
        <v>50</v>
      </c>
      <c r="E43" s="640">
        <v>0.3</v>
      </c>
      <c r="F43" s="1121" t="s">
        <v>836</v>
      </c>
      <c r="G43" s="1122"/>
      <c r="H43" s="635">
        <v>50</v>
      </c>
      <c r="I43" s="640">
        <v>0.3</v>
      </c>
      <c r="J43" s="1123" t="s">
        <v>836</v>
      </c>
      <c r="K43" s="1124"/>
      <c r="L43" s="635">
        <v>50</v>
      </c>
      <c r="M43" s="640">
        <v>0.3</v>
      </c>
      <c r="N43" s="1123" t="s">
        <v>836</v>
      </c>
      <c r="O43" s="1124"/>
      <c r="P43" s="635">
        <v>50</v>
      </c>
      <c r="Q43" s="640">
        <v>0.3</v>
      </c>
      <c r="R43" s="1123" t="s">
        <v>836</v>
      </c>
      <c r="S43" s="1124"/>
    </row>
    <row r="44" spans="2:19" x14ac:dyDescent="0.35">
      <c r="B44" s="1093"/>
      <c r="C44" s="1092" t="s">
        <v>837</v>
      </c>
      <c r="D44" s="309" t="s">
        <v>835</v>
      </c>
      <c r="E44" s="659" t="s">
        <v>810</v>
      </c>
      <c r="F44" s="648" t="s">
        <v>785</v>
      </c>
      <c r="G44" s="548" t="s">
        <v>826</v>
      </c>
      <c r="H44" s="309" t="s">
        <v>835</v>
      </c>
      <c r="I44" s="659" t="s">
        <v>810</v>
      </c>
      <c r="J44" s="648" t="s">
        <v>785</v>
      </c>
      <c r="K44" s="548" t="s">
        <v>826</v>
      </c>
      <c r="L44" s="309" t="s">
        <v>835</v>
      </c>
      <c r="M44" s="659" t="s">
        <v>810</v>
      </c>
      <c r="N44" s="648" t="s">
        <v>785</v>
      </c>
      <c r="O44" s="548" t="s">
        <v>826</v>
      </c>
      <c r="P44" s="309" t="s">
        <v>835</v>
      </c>
      <c r="Q44" s="659" t="s">
        <v>810</v>
      </c>
      <c r="R44" s="648" t="s">
        <v>785</v>
      </c>
      <c r="S44" s="548" t="s">
        <v>826</v>
      </c>
    </row>
    <row r="45" spans="2:19" x14ac:dyDescent="0.35">
      <c r="B45" s="1096"/>
      <c r="C45" s="1125"/>
      <c r="D45" s="660" t="s">
        <v>836</v>
      </c>
      <c r="E45" s="661" t="s">
        <v>812</v>
      </c>
      <c r="F45" s="650" t="s">
        <v>786</v>
      </c>
      <c r="G45" s="310" t="s">
        <v>827</v>
      </c>
      <c r="H45" s="662" t="s">
        <v>836</v>
      </c>
      <c r="I45" s="663" t="s">
        <v>812</v>
      </c>
      <c r="J45" s="652" t="s">
        <v>786</v>
      </c>
      <c r="K45" s="311" t="s">
        <v>828</v>
      </c>
      <c r="L45" s="662" t="s">
        <v>836</v>
      </c>
      <c r="M45" s="663" t="s">
        <v>812</v>
      </c>
      <c r="N45" s="652" t="s">
        <v>786</v>
      </c>
      <c r="O45" s="311" t="s">
        <v>828</v>
      </c>
      <c r="P45" s="662" t="s">
        <v>836</v>
      </c>
      <c r="Q45" s="663" t="s">
        <v>812</v>
      </c>
      <c r="R45" s="652" t="s">
        <v>786</v>
      </c>
      <c r="S45" s="311" t="s">
        <v>828</v>
      </c>
    </row>
    <row r="46" spans="2:19" ht="15" thickBot="1" x14ac:dyDescent="0.4">
      <c r="B46" s="100"/>
      <c r="C46" s="105"/>
      <c r="D46" s="103"/>
    </row>
    <row r="47" spans="2:19" ht="15" thickBot="1" x14ac:dyDescent="0.4">
      <c r="B47" s="100"/>
      <c r="C47" s="100"/>
      <c r="D47" s="1065" t="s">
        <v>787</v>
      </c>
      <c r="E47" s="1066"/>
      <c r="F47" s="1066"/>
      <c r="G47" s="1066"/>
      <c r="H47" s="1065" t="s">
        <v>788</v>
      </c>
      <c r="I47" s="1066"/>
      <c r="J47" s="1066"/>
      <c r="K47" s="1067"/>
      <c r="L47" s="1066" t="s">
        <v>789</v>
      </c>
      <c r="M47" s="1066"/>
      <c r="N47" s="1066"/>
      <c r="O47" s="1066"/>
      <c r="P47" s="1065" t="s">
        <v>790</v>
      </c>
      <c r="Q47" s="1066"/>
      <c r="R47" s="1066"/>
      <c r="S47" s="1067"/>
    </row>
    <row r="48" spans="2:19" x14ac:dyDescent="0.35">
      <c r="B48" s="1068" t="s">
        <v>838</v>
      </c>
      <c r="C48" s="1068" t="s">
        <v>839</v>
      </c>
      <c r="D48" s="1090" t="s">
        <v>840</v>
      </c>
      <c r="E48" s="1091"/>
      <c r="F48" s="1080" t="s">
        <v>785</v>
      </c>
      <c r="G48" s="1126"/>
      <c r="H48" s="1127" t="s">
        <v>840</v>
      </c>
      <c r="I48" s="1091"/>
      <c r="J48" s="1080" t="s">
        <v>785</v>
      </c>
      <c r="K48" s="1081"/>
      <c r="L48" s="1127" t="s">
        <v>840</v>
      </c>
      <c r="M48" s="1091"/>
      <c r="N48" s="1080" t="s">
        <v>785</v>
      </c>
      <c r="O48" s="1081"/>
      <c r="P48" s="1127" t="s">
        <v>840</v>
      </c>
      <c r="Q48" s="1091"/>
      <c r="R48" s="1080" t="s">
        <v>785</v>
      </c>
      <c r="S48" s="1081"/>
    </row>
    <row r="49" spans="2:19" x14ac:dyDescent="0.35">
      <c r="B49" s="1070"/>
      <c r="C49" s="1070"/>
      <c r="D49" s="1128">
        <v>0</v>
      </c>
      <c r="E49" s="1129"/>
      <c r="F49" s="1118" t="s">
        <v>786</v>
      </c>
      <c r="G49" s="1130"/>
      <c r="H49" s="1131">
        <v>1</v>
      </c>
      <c r="I49" s="1132"/>
      <c r="J49" s="1082" t="s">
        <v>786</v>
      </c>
      <c r="K49" s="1083"/>
      <c r="L49" s="1131">
        <v>0.15</v>
      </c>
      <c r="M49" s="1132"/>
      <c r="N49" s="1082" t="s">
        <v>786</v>
      </c>
      <c r="O49" s="1083"/>
      <c r="P49" s="1131">
        <v>0.85</v>
      </c>
      <c r="Q49" s="1132"/>
      <c r="R49" s="1082" t="s">
        <v>786</v>
      </c>
      <c r="S49" s="1083"/>
    </row>
    <row r="50" spans="2:19" x14ac:dyDescent="0.35">
      <c r="B50" s="1092" t="s">
        <v>841</v>
      </c>
      <c r="C50" s="1092" t="s">
        <v>842</v>
      </c>
      <c r="D50" s="648" t="s">
        <v>843</v>
      </c>
      <c r="E50" s="648" t="s">
        <v>844</v>
      </c>
      <c r="F50" s="1116" t="s">
        <v>845</v>
      </c>
      <c r="G50" s="1117"/>
      <c r="H50" s="664" t="s">
        <v>843</v>
      </c>
      <c r="I50" s="648" t="s">
        <v>844</v>
      </c>
      <c r="J50" s="1133" t="s">
        <v>845</v>
      </c>
      <c r="K50" s="1117"/>
      <c r="L50" s="664" t="s">
        <v>843</v>
      </c>
      <c r="M50" s="648" t="s">
        <v>844</v>
      </c>
      <c r="N50" s="1133" t="s">
        <v>845</v>
      </c>
      <c r="O50" s="1117"/>
      <c r="P50" s="664" t="s">
        <v>843</v>
      </c>
      <c r="Q50" s="648" t="s">
        <v>844</v>
      </c>
      <c r="R50" s="1133" t="s">
        <v>845</v>
      </c>
      <c r="S50" s="1117"/>
    </row>
    <row r="51" spans="2:19" x14ac:dyDescent="0.35">
      <c r="B51" s="1096"/>
      <c r="C51" s="1096"/>
      <c r="D51" s="635">
        <v>60000</v>
      </c>
      <c r="E51" s="640">
        <v>0.5</v>
      </c>
      <c r="F51" s="1134" t="s">
        <v>846</v>
      </c>
      <c r="G51" s="1134"/>
      <c r="H51" s="638">
        <v>60000</v>
      </c>
      <c r="I51" s="642">
        <v>0.5</v>
      </c>
      <c r="J51" s="1135" t="s">
        <v>847</v>
      </c>
      <c r="K51" s="1136"/>
      <c r="L51" s="638">
        <v>8516</v>
      </c>
      <c r="M51" s="642">
        <v>0.53</v>
      </c>
      <c r="N51" s="1135" t="s">
        <v>847</v>
      </c>
      <c r="O51" s="1136"/>
      <c r="P51" s="638">
        <f>12693*4</f>
        <v>50772</v>
      </c>
      <c r="Q51" s="642">
        <v>0.53</v>
      </c>
      <c r="R51" s="1135" t="s">
        <v>847</v>
      </c>
      <c r="S51" s="1136"/>
    </row>
    <row r="52" spans="2:19" ht="15" thickBot="1" x14ac:dyDescent="0.4">
      <c r="B52" s="100"/>
      <c r="C52" s="100"/>
    </row>
    <row r="53" spans="2:19" ht="15" thickBot="1" x14ac:dyDescent="0.4">
      <c r="B53" s="100"/>
      <c r="C53" s="100"/>
      <c r="D53" s="1065" t="s">
        <v>787</v>
      </c>
      <c r="E53" s="1066"/>
      <c r="F53" s="1066"/>
      <c r="G53" s="1067"/>
      <c r="H53" s="1066" t="s">
        <v>788</v>
      </c>
      <c r="I53" s="1066"/>
      <c r="J53" s="1066"/>
      <c r="K53" s="1067"/>
      <c r="L53" s="1066" t="s">
        <v>788</v>
      </c>
      <c r="M53" s="1066"/>
      <c r="N53" s="1066"/>
      <c r="O53" s="1067"/>
      <c r="P53" s="1066" t="s">
        <v>788</v>
      </c>
      <c r="Q53" s="1066"/>
      <c r="R53" s="1066"/>
      <c r="S53" s="1067"/>
    </row>
    <row r="54" spans="2:19" x14ac:dyDescent="0.35">
      <c r="B54" s="1068" t="s">
        <v>848</v>
      </c>
      <c r="C54" s="1068" t="s">
        <v>849</v>
      </c>
      <c r="D54" s="665" t="s">
        <v>850</v>
      </c>
      <c r="E54" s="658" t="s">
        <v>851</v>
      </c>
      <c r="F54" s="1080" t="s">
        <v>852</v>
      </c>
      <c r="G54" s="1081"/>
      <c r="H54" s="665" t="s">
        <v>850</v>
      </c>
      <c r="I54" s="658" t="s">
        <v>851</v>
      </c>
      <c r="J54" s="1080" t="s">
        <v>852</v>
      </c>
      <c r="K54" s="1081"/>
      <c r="L54" s="665" t="s">
        <v>850</v>
      </c>
      <c r="M54" s="658" t="s">
        <v>851</v>
      </c>
      <c r="N54" s="1080" t="s">
        <v>852</v>
      </c>
      <c r="O54" s="1081"/>
      <c r="P54" s="665" t="s">
        <v>850</v>
      </c>
      <c r="Q54" s="658" t="s">
        <v>851</v>
      </c>
      <c r="R54" s="1080" t="s">
        <v>852</v>
      </c>
      <c r="S54" s="1081"/>
    </row>
    <row r="55" spans="2:19" x14ac:dyDescent="0.35">
      <c r="B55" s="1069"/>
      <c r="C55" s="1070"/>
      <c r="D55" s="666" t="s">
        <v>786</v>
      </c>
      <c r="E55" s="312" t="s">
        <v>812</v>
      </c>
      <c r="F55" s="1137" t="s">
        <v>853</v>
      </c>
      <c r="G55" s="1138"/>
      <c r="H55" s="667" t="s">
        <v>786</v>
      </c>
      <c r="I55" s="313" t="s">
        <v>812</v>
      </c>
      <c r="J55" s="1139" t="s">
        <v>854</v>
      </c>
      <c r="K55" s="1140"/>
      <c r="L55" s="667"/>
      <c r="M55" s="313"/>
      <c r="N55" s="1139"/>
      <c r="O55" s="1140"/>
      <c r="P55" s="667"/>
      <c r="Q55" s="313"/>
      <c r="R55" s="1139"/>
      <c r="S55" s="1140"/>
    </row>
    <row r="56" spans="2:19" x14ac:dyDescent="0.35">
      <c r="B56" s="1069"/>
      <c r="C56" s="1068" t="s">
        <v>855</v>
      </c>
      <c r="D56" s="648" t="s">
        <v>785</v>
      </c>
      <c r="E56" s="549" t="s">
        <v>856</v>
      </c>
      <c r="F56" s="1116" t="s">
        <v>857</v>
      </c>
      <c r="G56" s="1117"/>
      <c r="H56" s="648" t="s">
        <v>785</v>
      </c>
      <c r="I56" s="549" t="s">
        <v>856</v>
      </c>
      <c r="J56" s="1116" t="s">
        <v>857</v>
      </c>
      <c r="K56" s="1117"/>
      <c r="L56" s="648" t="s">
        <v>785</v>
      </c>
      <c r="M56" s="549" t="s">
        <v>856</v>
      </c>
      <c r="N56" s="1116" t="s">
        <v>857</v>
      </c>
      <c r="O56" s="1117"/>
      <c r="P56" s="648" t="s">
        <v>785</v>
      </c>
      <c r="Q56" s="549" t="s">
        <v>856</v>
      </c>
      <c r="R56" s="1116" t="s">
        <v>857</v>
      </c>
      <c r="S56" s="1117"/>
    </row>
    <row r="57" spans="2:19" ht="45" customHeight="1" x14ac:dyDescent="0.35">
      <c r="B57" s="1069"/>
      <c r="C57" s="1069"/>
      <c r="D57" s="650" t="s">
        <v>786</v>
      </c>
      <c r="E57" s="312" t="s">
        <v>858</v>
      </c>
      <c r="F57" s="1118" t="s">
        <v>859</v>
      </c>
      <c r="G57" s="1119"/>
      <c r="H57" s="652" t="s">
        <v>786</v>
      </c>
      <c r="I57" s="313" t="s">
        <v>858</v>
      </c>
      <c r="J57" s="1082" t="s">
        <v>859</v>
      </c>
      <c r="K57" s="1083"/>
      <c r="L57" s="652"/>
      <c r="M57" s="313"/>
      <c r="N57" s="1082"/>
      <c r="O57" s="1083"/>
      <c r="P57" s="652"/>
      <c r="Q57" s="313"/>
      <c r="R57" s="1082"/>
      <c r="S57" s="1083"/>
    </row>
    <row r="58" spans="2:19" x14ac:dyDescent="0.35">
      <c r="B58" s="1070"/>
      <c r="C58" s="1070"/>
      <c r="D58" s="650"/>
      <c r="E58" s="312"/>
      <c r="F58" s="1118"/>
      <c r="G58" s="1119"/>
      <c r="H58" s="652"/>
      <c r="I58" s="313"/>
      <c r="J58" s="1082"/>
      <c r="K58" s="1083"/>
      <c r="L58" s="652"/>
      <c r="M58" s="313"/>
      <c r="N58" s="1082"/>
      <c r="O58" s="1083"/>
      <c r="P58" s="652"/>
      <c r="Q58" s="313"/>
      <c r="R58" s="1082"/>
      <c r="S58" s="1083"/>
    </row>
    <row r="59" spans="2:19" x14ac:dyDescent="0.35">
      <c r="B59" s="1092" t="s">
        <v>860</v>
      </c>
      <c r="C59" s="1141" t="s">
        <v>861</v>
      </c>
      <c r="D59" s="551" t="s">
        <v>862</v>
      </c>
      <c r="E59" s="1116" t="s">
        <v>835</v>
      </c>
      <c r="F59" s="1142"/>
      <c r="G59" s="649" t="s">
        <v>785</v>
      </c>
      <c r="H59" s="551" t="s">
        <v>862</v>
      </c>
      <c r="I59" s="1116" t="s">
        <v>835</v>
      </c>
      <c r="J59" s="1142"/>
      <c r="K59" s="649" t="s">
        <v>785</v>
      </c>
      <c r="L59" s="551" t="s">
        <v>862</v>
      </c>
      <c r="M59" s="1116" t="s">
        <v>835</v>
      </c>
      <c r="N59" s="1142"/>
      <c r="O59" s="649" t="s">
        <v>785</v>
      </c>
      <c r="P59" s="551" t="s">
        <v>862</v>
      </c>
      <c r="Q59" s="1116" t="s">
        <v>835</v>
      </c>
      <c r="R59" s="1142"/>
      <c r="S59" s="649" t="s">
        <v>785</v>
      </c>
    </row>
    <row r="60" spans="2:19" x14ac:dyDescent="0.35">
      <c r="B60" s="1093"/>
      <c r="C60" s="1141"/>
      <c r="D60" s="358">
        <v>1</v>
      </c>
      <c r="E60" s="1143" t="s">
        <v>863</v>
      </c>
      <c r="F60" s="1144"/>
      <c r="G60" s="668" t="s">
        <v>786</v>
      </c>
      <c r="H60" s="359">
        <v>1</v>
      </c>
      <c r="I60" s="1145" t="s">
        <v>864</v>
      </c>
      <c r="J60" s="1146"/>
      <c r="K60" s="669" t="s">
        <v>786</v>
      </c>
      <c r="L60" s="552"/>
      <c r="M60" s="1145"/>
      <c r="N60" s="1146"/>
      <c r="O60" s="669"/>
      <c r="P60" s="552"/>
      <c r="Q60" s="1145"/>
      <c r="R60" s="1146"/>
      <c r="S60" s="669"/>
    </row>
    <row r="61" spans="2:19" x14ac:dyDescent="0.35">
      <c r="B61" s="1093"/>
      <c r="C61" s="1141"/>
      <c r="D61" s="358">
        <v>12</v>
      </c>
      <c r="E61" s="1143" t="s">
        <v>865</v>
      </c>
      <c r="F61" s="1144"/>
      <c r="G61" s="668" t="s">
        <v>786</v>
      </c>
      <c r="H61" s="359">
        <v>12</v>
      </c>
      <c r="I61" s="1082" t="s">
        <v>865</v>
      </c>
      <c r="J61" s="1147"/>
      <c r="K61" s="669" t="s">
        <v>786</v>
      </c>
      <c r="L61" s="552"/>
      <c r="M61" s="1145"/>
      <c r="N61" s="1146"/>
      <c r="O61" s="669"/>
      <c r="P61" s="552"/>
      <c r="Q61" s="1145"/>
      <c r="R61" s="1146"/>
      <c r="S61" s="669"/>
    </row>
    <row r="62" spans="2:19" ht="15" thickBot="1" x14ac:dyDescent="0.4">
      <c r="B62" s="100"/>
      <c r="C62" s="106"/>
      <c r="D62" s="103"/>
    </row>
    <row r="63" spans="2:19" ht="15" thickBot="1" x14ac:dyDescent="0.4">
      <c r="B63" s="100"/>
      <c r="C63" s="100"/>
      <c r="D63" s="1065" t="s">
        <v>787</v>
      </c>
      <c r="E63" s="1066"/>
      <c r="F63" s="1066"/>
      <c r="G63" s="1067"/>
      <c r="H63" s="1066" t="s">
        <v>788</v>
      </c>
      <c r="I63" s="1066"/>
      <c r="J63" s="1066"/>
      <c r="K63" s="1067"/>
      <c r="L63" s="1099" t="s">
        <v>787</v>
      </c>
      <c r="M63" s="1100"/>
      <c r="N63" s="1100"/>
      <c r="O63" s="1148"/>
      <c r="P63" s="1149" t="s">
        <v>787</v>
      </c>
      <c r="Q63" s="1100"/>
      <c r="R63" s="1100"/>
      <c r="S63" s="1101"/>
    </row>
    <row r="64" spans="2:19" x14ac:dyDescent="0.35">
      <c r="B64" s="1068" t="s">
        <v>866</v>
      </c>
      <c r="C64" s="1068" t="s">
        <v>867</v>
      </c>
      <c r="D64" s="1080" t="s">
        <v>868</v>
      </c>
      <c r="E64" s="1120"/>
      <c r="F64" s="658" t="s">
        <v>785</v>
      </c>
      <c r="G64" s="670" t="s">
        <v>835</v>
      </c>
      <c r="H64" s="1150" t="s">
        <v>868</v>
      </c>
      <c r="I64" s="1120"/>
      <c r="J64" s="658" t="s">
        <v>785</v>
      </c>
      <c r="K64" s="670" t="s">
        <v>835</v>
      </c>
      <c r="L64" s="1150" t="s">
        <v>868</v>
      </c>
      <c r="M64" s="1120"/>
      <c r="N64" s="658" t="s">
        <v>785</v>
      </c>
      <c r="O64" s="670" t="s">
        <v>835</v>
      </c>
      <c r="P64" s="1150" t="s">
        <v>868</v>
      </c>
      <c r="Q64" s="1120"/>
      <c r="R64" s="658" t="s">
        <v>785</v>
      </c>
      <c r="S64" s="670" t="s">
        <v>835</v>
      </c>
    </row>
    <row r="65" spans="2:19" x14ac:dyDescent="0.35">
      <c r="B65" s="1070"/>
      <c r="C65" s="1070"/>
      <c r="D65" s="1118" t="s">
        <v>804</v>
      </c>
      <c r="E65" s="1151"/>
      <c r="F65" s="666" t="s">
        <v>786</v>
      </c>
      <c r="G65" s="671" t="s">
        <v>869</v>
      </c>
      <c r="H65" s="672" t="s">
        <v>805</v>
      </c>
      <c r="I65" s="553"/>
      <c r="J65" s="667" t="s">
        <v>786</v>
      </c>
      <c r="K65" s="673" t="s">
        <v>869</v>
      </c>
      <c r="L65" s="672"/>
      <c r="M65" s="553"/>
      <c r="N65" s="667"/>
      <c r="O65" s="673"/>
      <c r="P65" s="672"/>
      <c r="Q65" s="553"/>
      <c r="R65" s="667"/>
      <c r="S65" s="673"/>
    </row>
    <row r="66" spans="2:19" ht="36" customHeight="1" x14ac:dyDescent="0.35">
      <c r="B66" s="1152" t="s">
        <v>870</v>
      </c>
      <c r="C66" s="1092" t="s">
        <v>871</v>
      </c>
      <c r="D66" s="648" t="s">
        <v>872</v>
      </c>
      <c r="E66" s="648" t="s">
        <v>873</v>
      </c>
      <c r="F66" s="551" t="s">
        <v>874</v>
      </c>
      <c r="G66" s="649" t="s">
        <v>875</v>
      </c>
      <c r="H66" s="648" t="s">
        <v>872</v>
      </c>
      <c r="I66" s="648" t="s">
        <v>873</v>
      </c>
      <c r="J66" s="551" t="s">
        <v>874</v>
      </c>
      <c r="K66" s="649" t="s">
        <v>875</v>
      </c>
      <c r="L66" s="648" t="s">
        <v>872</v>
      </c>
      <c r="M66" s="648" t="s">
        <v>873</v>
      </c>
      <c r="N66" s="551" t="s">
        <v>874</v>
      </c>
      <c r="O66" s="649" t="s">
        <v>875</v>
      </c>
      <c r="P66" s="648" t="s">
        <v>872</v>
      </c>
      <c r="Q66" s="648" t="s">
        <v>873</v>
      </c>
      <c r="R66" s="551" t="s">
        <v>874</v>
      </c>
      <c r="S66" s="649" t="s">
        <v>875</v>
      </c>
    </row>
    <row r="67" spans="2:19" x14ac:dyDescent="0.35">
      <c r="B67" s="1152"/>
      <c r="C67" s="1093"/>
      <c r="D67" s="1153" t="s">
        <v>876</v>
      </c>
      <c r="E67" s="1155">
        <v>34</v>
      </c>
      <c r="F67" s="1153" t="s">
        <v>877</v>
      </c>
      <c r="G67" s="1157" t="s">
        <v>878</v>
      </c>
      <c r="H67" s="1104" t="s">
        <v>876</v>
      </c>
      <c r="I67" s="1159">
        <v>34</v>
      </c>
      <c r="J67" s="1104" t="s">
        <v>877</v>
      </c>
      <c r="K67" s="1102" t="s">
        <v>805</v>
      </c>
      <c r="L67" s="1104" t="s">
        <v>876</v>
      </c>
      <c r="M67" s="1104"/>
      <c r="N67" s="1104" t="s">
        <v>877</v>
      </c>
      <c r="O67" s="1102" t="s">
        <v>878</v>
      </c>
      <c r="P67" s="1104" t="s">
        <v>876</v>
      </c>
      <c r="Q67" s="1159">
        <v>34</v>
      </c>
      <c r="R67" s="1104" t="s">
        <v>877</v>
      </c>
      <c r="S67" s="1102" t="s">
        <v>805</v>
      </c>
    </row>
    <row r="68" spans="2:19" x14ac:dyDescent="0.35">
      <c r="B68" s="1152"/>
      <c r="C68" s="1093"/>
      <c r="D68" s="1154"/>
      <c r="E68" s="1156"/>
      <c r="F68" s="1154"/>
      <c r="G68" s="1158"/>
      <c r="H68" s="1105"/>
      <c r="I68" s="1160"/>
      <c r="J68" s="1105"/>
      <c r="K68" s="1103"/>
      <c r="L68" s="1105"/>
      <c r="M68" s="1105"/>
      <c r="N68" s="1105"/>
      <c r="O68" s="1103"/>
      <c r="P68" s="1105"/>
      <c r="Q68" s="1160"/>
      <c r="R68" s="1105"/>
      <c r="S68" s="1103"/>
    </row>
    <row r="69" spans="2:19" ht="36" customHeight="1" x14ac:dyDescent="0.35">
      <c r="B69" s="1152"/>
      <c r="C69" s="1093"/>
      <c r="D69" s="648" t="s">
        <v>872</v>
      </c>
      <c r="E69" s="648" t="s">
        <v>873</v>
      </c>
      <c r="F69" s="551" t="s">
        <v>874</v>
      </c>
      <c r="G69" s="649" t="s">
        <v>875</v>
      </c>
      <c r="H69" s="648" t="s">
        <v>872</v>
      </c>
      <c r="I69" s="648" t="s">
        <v>873</v>
      </c>
      <c r="J69" s="551" t="s">
        <v>874</v>
      </c>
      <c r="K69" s="649" t="s">
        <v>875</v>
      </c>
      <c r="L69" s="648" t="s">
        <v>872</v>
      </c>
      <c r="M69" s="648" t="s">
        <v>873</v>
      </c>
      <c r="N69" s="551" t="s">
        <v>874</v>
      </c>
      <c r="O69" s="649" t="s">
        <v>875</v>
      </c>
      <c r="P69" s="648" t="s">
        <v>872</v>
      </c>
      <c r="Q69" s="648" t="s">
        <v>873</v>
      </c>
      <c r="R69" s="551" t="s">
        <v>874</v>
      </c>
      <c r="S69" s="649" t="s">
        <v>875</v>
      </c>
    </row>
    <row r="70" spans="2:19" x14ac:dyDescent="0.35">
      <c r="B70" s="1152"/>
      <c r="C70" s="1093"/>
      <c r="D70" s="1153" t="s">
        <v>879</v>
      </c>
      <c r="E70" s="1155">
        <v>3023</v>
      </c>
      <c r="F70" s="1153" t="s">
        <v>880</v>
      </c>
      <c r="G70" s="1157" t="s">
        <v>878</v>
      </c>
      <c r="H70" s="1104" t="s">
        <v>879</v>
      </c>
      <c r="I70" s="1159">
        <v>3023</v>
      </c>
      <c r="J70" s="1104" t="s">
        <v>880</v>
      </c>
      <c r="K70" s="1102" t="s">
        <v>881</v>
      </c>
      <c r="L70" s="1104" t="s">
        <v>879</v>
      </c>
      <c r="M70" s="1104"/>
      <c r="N70" s="1104" t="s">
        <v>880</v>
      </c>
      <c r="O70" s="1102" t="s">
        <v>878</v>
      </c>
      <c r="P70" s="1104" t="s">
        <v>879</v>
      </c>
      <c r="Q70" s="1159">
        <v>3023</v>
      </c>
      <c r="R70" s="1104" t="s">
        <v>880</v>
      </c>
      <c r="S70" s="1102" t="s">
        <v>881</v>
      </c>
    </row>
    <row r="71" spans="2:19" x14ac:dyDescent="0.35">
      <c r="B71" s="1152"/>
      <c r="C71" s="1093"/>
      <c r="D71" s="1154"/>
      <c r="E71" s="1156"/>
      <c r="F71" s="1154"/>
      <c r="G71" s="1158"/>
      <c r="H71" s="1105"/>
      <c r="I71" s="1160"/>
      <c r="J71" s="1105"/>
      <c r="K71" s="1103"/>
      <c r="L71" s="1105"/>
      <c r="M71" s="1105"/>
      <c r="N71" s="1105"/>
      <c r="O71" s="1103"/>
      <c r="P71" s="1105"/>
      <c r="Q71" s="1160"/>
      <c r="R71" s="1105"/>
      <c r="S71" s="1103"/>
    </row>
    <row r="72" spans="2:19" ht="36" customHeight="1" x14ac:dyDescent="0.35">
      <c r="B72" s="1152"/>
      <c r="C72" s="1093"/>
      <c r="D72" s="648" t="s">
        <v>872</v>
      </c>
      <c r="E72" s="648" t="s">
        <v>873</v>
      </c>
      <c r="F72" s="551" t="s">
        <v>874</v>
      </c>
      <c r="G72" s="649" t="s">
        <v>875</v>
      </c>
      <c r="H72" s="648" t="s">
        <v>872</v>
      </c>
      <c r="I72" s="648" t="s">
        <v>873</v>
      </c>
      <c r="J72" s="551" t="s">
        <v>874</v>
      </c>
      <c r="K72" s="649" t="s">
        <v>875</v>
      </c>
      <c r="L72" s="648" t="s">
        <v>872</v>
      </c>
      <c r="M72" s="648" t="s">
        <v>873</v>
      </c>
      <c r="N72" s="551" t="s">
        <v>874</v>
      </c>
      <c r="O72" s="649" t="s">
        <v>875</v>
      </c>
      <c r="P72" s="648" t="s">
        <v>872</v>
      </c>
      <c r="Q72" s="648" t="s">
        <v>873</v>
      </c>
      <c r="R72" s="551" t="s">
        <v>874</v>
      </c>
      <c r="S72" s="649" t="s">
        <v>875</v>
      </c>
    </row>
    <row r="73" spans="2:19" x14ac:dyDescent="0.35">
      <c r="B73" s="1152"/>
      <c r="C73" s="1093"/>
      <c r="D73" s="1153"/>
      <c r="E73" s="1161"/>
      <c r="F73" s="1153"/>
      <c r="G73" s="1157"/>
      <c r="H73" s="1104"/>
      <c r="I73" s="1104"/>
      <c r="J73" s="1104"/>
      <c r="K73" s="1102"/>
      <c r="L73" s="1104"/>
      <c r="M73" s="1104"/>
      <c r="N73" s="1104"/>
      <c r="O73" s="1102"/>
      <c r="P73" s="1104"/>
      <c r="Q73" s="1104"/>
      <c r="R73" s="1104"/>
      <c r="S73" s="1102"/>
    </row>
    <row r="74" spans="2:19" x14ac:dyDescent="0.35">
      <c r="B74" s="1152"/>
      <c r="C74" s="1093"/>
      <c r="D74" s="1154"/>
      <c r="E74" s="1162"/>
      <c r="F74" s="1154"/>
      <c r="G74" s="1158"/>
      <c r="H74" s="1105"/>
      <c r="I74" s="1105"/>
      <c r="J74" s="1105"/>
      <c r="K74" s="1103"/>
      <c r="L74" s="1105"/>
      <c r="M74" s="1105"/>
      <c r="N74" s="1105"/>
      <c r="O74" s="1103"/>
      <c r="P74" s="1105"/>
      <c r="Q74" s="1105"/>
      <c r="R74" s="1105"/>
      <c r="S74" s="1103"/>
    </row>
    <row r="75" spans="2:19" ht="36" customHeight="1" x14ac:dyDescent="0.35">
      <c r="B75" s="1152"/>
      <c r="C75" s="1093"/>
      <c r="D75" s="648" t="s">
        <v>872</v>
      </c>
      <c r="E75" s="648" t="s">
        <v>873</v>
      </c>
      <c r="F75" s="551" t="s">
        <v>874</v>
      </c>
      <c r="G75" s="649" t="s">
        <v>875</v>
      </c>
      <c r="H75" s="648" t="s">
        <v>872</v>
      </c>
      <c r="I75" s="648" t="s">
        <v>873</v>
      </c>
      <c r="J75" s="551" t="s">
        <v>874</v>
      </c>
      <c r="K75" s="649" t="s">
        <v>875</v>
      </c>
      <c r="L75" s="648" t="s">
        <v>872</v>
      </c>
      <c r="M75" s="648" t="s">
        <v>873</v>
      </c>
      <c r="N75" s="551" t="s">
        <v>874</v>
      </c>
      <c r="O75" s="649" t="s">
        <v>875</v>
      </c>
      <c r="P75" s="648" t="s">
        <v>872</v>
      </c>
      <c r="Q75" s="648" t="s">
        <v>873</v>
      </c>
      <c r="R75" s="551" t="s">
        <v>874</v>
      </c>
      <c r="S75" s="649" t="s">
        <v>875</v>
      </c>
    </row>
    <row r="76" spans="2:19" x14ac:dyDescent="0.35">
      <c r="B76" s="1152"/>
      <c r="C76" s="1093"/>
      <c r="D76" s="1153"/>
      <c r="E76" s="1161"/>
      <c r="F76" s="1153"/>
      <c r="G76" s="1157"/>
      <c r="H76" s="1104"/>
      <c r="I76" s="1104"/>
      <c r="J76" s="1104"/>
      <c r="K76" s="1102"/>
      <c r="L76" s="1104"/>
      <c r="M76" s="1104"/>
      <c r="N76" s="1104"/>
      <c r="O76" s="1102"/>
      <c r="P76" s="1104"/>
      <c r="Q76" s="1104"/>
      <c r="R76" s="1104"/>
      <c r="S76" s="1102"/>
    </row>
    <row r="77" spans="2:19" x14ac:dyDescent="0.35">
      <c r="B77" s="1152"/>
      <c r="C77" s="1096"/>
      <c r="D77" s="1154"/>
      <c r="E77" s="1162"/>
      <c r="F77" s="1154"/>
      <c r="G77" s="1158"/>
      <c r="H77" s="1105"/>
      <c r="I77" s="1105"/>
      <c r="J77" s="1105"/>
      <c r="K77" s="1103"/>
      <c r="L77" s="1105"/>
      <c r="M77" s="1105"/>
      <c r="N77" s="1105"/>
      <c r="O77" s="1103"/>
      <c r="P77" s="1105"/>
      <c r="Q77" s="1105"/>
      <c r="R77" s="1105"/>
      <c r="S77" s="1103"/>
    </row>
    <row r="78" spans="2:19" ht="15" thickBot="1" x14ac:dyDescent="0.4">
      <c r="B78" s="100"/>
      <c r="C78" s="100"/>
    </row>
    <row r="79" spans="2:19" ht="15" thickBot="1" x14ac:dyDescent="0.4">
      <c r="B79" s="100"/>
      <c r="C79" s="100"/>
      <c r="D79" s="1065" t="s">
        <v>787</v>
      </c>
      <c r="E79" s="1066"/>
      <c r="F79" s="1066"/>
      <c r="G79" s="1067"/>
      <c r="H79" s="1099" t="s">
        <v>882</v>
      </c>
      <c r="I79" s="1100"/>
      <c r="J79" s="1100"/>
      <c r="K79" s="1101"/>
      <c r="L79" s="1099" t="s">
        <v>789</v>
      </c>
      <c r="M79" s="1100"/>
      <c r="N79" s="1100"/>
      <c r="O79" s="1101"/>
      <c r="P79" s="1099" t="s">
        <v>790</v>
      </c>
      <c r="Q79" s="1100"/>
      <c r="R79" s="1100"/>
      <c r="S79" s="1101"/>
    </row>
    <row r="80" spans="2:19" x14ac:dyDescent="0.35">
      <c r="B80" s="1163" t="s">
        <v>883</v>
      </c>
      <c r="C80" s="1068" t="s">
        <v>884</v>
      </c>
      <c r="D80" s="547" t="s">
        <v>885</v>
      </c>
      <c r="E80" s="107" t="s">
        <v>886</v>
      </c>
      <c r="F80" s="1080" t="s">
        <v>887</v>
      </c>
      <c r="G80" s="1081"/>
      <c r="H80" s="547" t="s">
        <v>885</v>
      </c>
      <c r="I80" s="107" t="s">
        <v>886</v>
      </c>
      <c r="J80" s="1080" t="s">
        <v>887</v>
      </c>
      <c r="K80" s="1081"/>
      <c r="L80" s="547" t="s">
        <v>885</v>
      </c>
      <c r="M80" s="107" t="s">
        <v>886</v>
      </c>
      <c r="N80" s="1080" t="s">
        <v>887</v>
      </c>
      <c r="O80" s="1081"/>
      <c r="P80" s="547" t="s">
        <v>885</v>
      </c>
      <c r="Q80" s="107" t="s">
        <v>886</v>
      </c>
      <c r="R80" s="1080" t="s">
        <v>887</v>
      </c>
      <c r="S80" s="1081"/>
    </row>
    <row r="81" spans="2:19" x14ac:dyDescent="0.35">
      <c r="B81" s="1164"/>
      <c r="C81" s="1070"/>
      <c r="D81" s="363">
        <v>15000</v>
      </c>
      <c r="E81" s="364">
        <v>0.5</v>
      </c>
      <c r="F81" s="1118" t="s">
        <v>888</v>
      </c>
      <c r="G81" s="1119"/>
      <c r="H81" s="361">
        <v>15000</v>
      </c>
      <c r="I81" s="360">
        <v>0.5</v>
      </c>
      <c r="J81" s="1165" t="s">
        <v>889</v>
      </c>
      <c r="K81" s="1166"/>
      <c r="L81" s="361">
        <v>2129</v>
      </c>
      <c r="M81" s="314">
        <v>0.53</v>
      </c>
      <c r="N81" s="1165" t="s">
        <v>889</v>
      </c>
      <c r="O81" s="1166"/>
      <c r="P81" s="361">
        <v>12693</v>
      </c>
      <c r="Q81" s="360">
        <v>0.53</v>
      </c>
      <c r="R81" s="1165" t="s">
        <v>889</v>
      </c>
      <c r="S81" s="1166"/>
    </row>
    <row r="82" spans="2:19" ht="24" customHeight="1" x14ac:dyDescent="0.35">
      <c r="B82" s="1164"/>
      <c r="C82" s="1163" t="s">
        <v>890</v>
      </c>
      <c r="D82" s="674" t="s">
        <v>885</v>
      </c>
      <c r="E82" s="648" t="s">
        <v>886</v>
      </c>
      <c r="F82" s="648" t="s">
        <v>891</v>
      </c>
      <c r="G82" s="548" t="s">
        <v>892</v>
      </c>
      <c r="H82" s="674" t="s">
        <v>885</v>
      </c>
      <c r="I82" s="648" t="s">
        <v>886</v>
      </c>
      <c r="J82" s="648" t="s">
        <v>891</v>
      </c>
      <c r="K82" s="548" t="s">
        <v>892</v>
      </c>
      <c r="L82" s="674" t="s">
        <v>885</v>
      </c>
      <c r="M82" s="648" t="s">
        <v>886</v>
      </c>
      <c r="N82" s="648" t="s">
        <v>891</v>
      </c>
      <c r="O82" s="548" t="s">
        <v>892</v>
      </c>
      <c r="P82" s="674" t="s">
        <v>885</v>
      </c>
      <c r="Q82" s="648" t="s">
        <v>886</v>
      </c>
      <c r="R82" s="648" t="s">
        <v>891</v>
      </c>
      <c r="S82" s="548" t="s">
        <v>892</v>
      </c>
    </row>
    <row r="83" spans="2:19" x14ac:dyDescent="0.35">
      <c r="B83" s="1164"/>
      <c r="C83" s="1164"/>
      <c r="D83" s="363">
        <v>15000</v>
      </c>
      <c r="E83" s="640">
        <v>0.5</v>
      </c>
      <c r="F83" s="312"/>
      <c r="G83" s="671" t="s">
        <v>893</v>
      </c>
      <c r="H83" s="361">
        <v>15000</v>
      </c>
      <c r="I83" s="642">
        <v>0.5</v>
      </c>
      <c r="J83" s="313"/>
      <c r="K83" s="673" t="s">
        <v>893</v>
      </c>
      <c r="L83" s="361">
        <v>2129</v>
      </c>
      <c r="M83" s="675">
        <v>0.53</v>
      </c>
      <c r="N83" s="313"/>
      <c r="O83" s="673" t="s">
        <v>893</v>
      </c>
      <c r="P83" s="361">
        <v>12693</v>
      </c>
      <c r="Q83" s="642">
        <v>0.53</v>
      </c>
      <c r="R83" s="313"/>
      <c r="S83" s="673" t="s">
        <v>893</v>
      </c>
    </row>
    <row r="84" spans="2:19" x14ac:dyDescent="0.35">
      <c r="B84" s="1094" t="s">
        <v>894</v>
      </c>
      <c r="C84" s="1167" t="s">
        <v>895</v>
      </c>
      <c r="D84" s="676" t="s">
        <v>896</v>
      </c>
      <c r="E84" s="676" t="s">
        <v>897</v>
      </c>
      <c r="F84" s="676" t="s">
        <v>785</v>
      </c>
      <c r="G84" s="677" t="s">
        <v>898</v>
      </c>
      <c r="H84" s="299" t="s">
        <v>896</v>
      </c>
      <c r="I84" s="676" t="s">
        <v>897</v>
      </c>
      <c r="J84" s="676" t="s">
        <v>785</v>
      </c>
      <c r="K84" s="677" t="s">
        <v>898</v>
      </c>
      <c r="L84" s="676" t="s">
        <v>896</v>
      </c>
      <c r="M84" s="676" t="s">
        <v>897</v>
      </c>
      <c r="N84" s="676" t="s">
        <v>785</v>
      </c>
      <c r="O84" s="677" t="s">
        <v>898</v>
      </c>
      <c r="P84" s="676" t="s">
        <v>896</v>
      </c>
      <c r="Q84" s="676" t="s">
        <v>897</v>
      </c>
      <c r="R84" s="676" t="s">
        <v>785</v>
      </c>
      <c r="S84" s="677" t="s">
        <v>898</v>
      </c>
    </row>
    <row r="85" spans="2:19" x14ac:dyDescent="0.35">
      <c r="B85" s="1095"/>
      <c r="C85" s="1168"/>
      <c r="D85" s="635">
        <v>50</v>
      </c>
      <c r="E85" s="678" t="s">
        <v>899</v>
      </c>
      <c r="F85" s="678" t="s">
        <v>786</v>
      </c>
      <c r="G85" s="678" t="s">
        <v>900</v>
      </c>
      <c r="H85" s="359">
        <v>50</v>
      </c>
      <c r="I85" s="679" t="s">
        <v>899</v>
      </c>
      <c r="J85" s="679" t="s">
        <v>786</v>
      </c>
      <c r="K85" s="669" t="s">
        <v>900</v>
      </c>
      <c r="L85" s="638">
        <v>8</v>
      </c>
      <c r="M85" s="679" t="s">
        <v>899</v>
      </c>
      <c r="N85" s="679" t="s">
        <v>786</v>
      </c>
      <c r="O85" s="669" t="s">
        <v>900</v>
      </c>
      <c r="P85" s="638">
        <v>45</v>
      </c>
      <c r="Q85" s="679" t="s">
        <v>899</v>
      </c>
      <c r="R85" s="679" t="s">
        <v>786</v>
      </c>
      <c r="S85" s="669" t="s">
        <v>900</v>
      </c>
    </row>
    <row r="86" spans="2:19" ht="24" customHeight="1" x14ac:dyDescent="0.35">
      <c r="B86" s="1095"/>
      <c r="C86" s="1094" t="s">
        <v>901</v>
      </c>
      <c r="D86" s="648" t="s">
        <v>902</v>
      </c>
      <c r="E86" s="1116" t="s">
        <v>903</v>
      </c>
      <c r="F86" s="1142"/>
      <c r="G86" s="649" t="s">
        <v>904</v>
      </c>
      <c r="H86" s="648" t="s">
        <v>902</v>
      </c>
      <c r="I86" s="1116" t="s">
        <v>903</v>
      </c>
      <c r="J86" s="1142"/>
      <c r="K86" s="649" t="s">
        <v>904</v>
      </c>
      <c r="L86" s="648" t="s">
        <v>902</v>
      </c>
      <c r="M86" s="1116" t="s">
        <v>903</v>
      </c>
      <c r="N86" s="1142"/>
      <c r="O86" s="649" t="s">
        <v>904</v>
      </c>
      <c r="P86" s="648" t="s">
        <v>902</v>
      </c>
      <c r="Q86" s="648" t="s">
        <v>903</v>
      </c>
      <c r="R86" s="1116" t="s">
        <v>903</v>
      </c>
      <c r="S86" s="1142"/>
    </row>
    <row r="87" spans="2:19" x14ac:dyDescent="0.35">
      <c r="B87" s="1115"/>
      <c r="C87" s="1115"/>
      <c r="D87" s="680">
        <v>15000</v>
      </c>
      <c r="E87" s="1169" t="s">
        <v>893</v>
      </c>
      <c r="F87" s="1170"/>
      <c r="G87" s="681">
        <v>150</v>
      </c>
      <c r="H87" s="682">
        <v>15000</v>
      </c>
      <c r="I87" s="1171" t="s">
        <v>893</v>
      </c>
      <c r="J87" s="1172"/>
      <c r="K87" s="362">
        <v>150</v>
      </c>
      <c r="L87" s="682">
        <v>2132</v>
      </c>
      <c r="M87" s="1171" t="s">
        <v>893</v>
      </c>
      <c r="N87" s="1172"/>
      <c r="O87" s="683">
        <v>150</v>
      </c>
      <c r="P87" s="682">
        <v>12693</v>
      </c>
      <c r="Q87" s="652" t="s">
        <v>893</v>
      </c>
      <c r="R87" s="1171" t="s">
        <v>893</v>
      </c>
      <c r="S87" s="1172"/>
    </row>
    <row r="88" spans="2:19" ht="15" thickBot="1" x14ac:dyDescent="0.4">
      <c r="B88" s="100"/>
      <c r="C88" s="100"/>
    </row>
    <row r="89" spans="2:19" ht="15" thickBot="1" x14ac:dyDescent="0.4">
      <c r="B89" s="100"/>
      <c r="C89" s="100"/>
      <c r="D89" s="1065" t="s">
        <v>787</v>
      </c>
      <c r="E89" s="1066"/>
      <c r="F89" s="1066"/>
      <c r="G89" s="1067"/>
      <c r="H89" s="1065" t="s">
        <v>788</v>
      </c>
      <c r="I89" s="1066"/>
      <c r="J89" s="1066"/>
      <c r="K89" s="1067"/>
      <c r="L89" s="1066" t="s">
        <v>789</v>
      </c>
      <c r="M89" s="1066"/>
      <c r="N89" s="1066"/>
      <c r="O89" s="1066"/>
      <c r="P89" s="1065" t="s">
        <v>790</v>
      </c>
      <c r="Q89" s="1066"/>
      <c r="R89" s="1066"/>
      <c r="S89" s="1067"/>
    </row>
    <row r="90" spans="2:19" x14ac:dyDescent="0.35">
      <c r="B90" s="1068" t="s">
        <v>905</v>
      </c>
      <c r="C90" s="1068" t="s">
        <v>906</v>
      </c>
      <c r="D90" s="1080" t="s">
        <v>907</v>
      </c>
      <c r="E90" s="1126"/>
      <c r="F90" s="1126"/>
      <c r="G90" s="1081"/>
      <c r="H90" s="1080" t="s">
        <v>907</v>
      </c>
      <c r="I90" s="1126"/>
      <c r="J90" s="1126"/>
      <c r="K90" s="1081"/>
      <c r="L90" s="1080" t="s">
        <v>907</v>
      </c>
      <c r="M90" s="1126"/>
      <c r="N90" s="1126"/>
      <c r="O90" s="1081"/>
      <c r="P90" s="1080" t="s">
        <v>907</v>
      </c>
      <c r="Q90" s="1126"/>
      <c r="R90" s="1126"/>
      <c r="S90" s="1081"/>
    </row>
    <row r="91" spans="2:19" x14ac:dyDescent="0.35">
      <c r="B91" s="1070"/>
      <c r="C91" s="1070"/>
      <c r="D91" s="1173" t="s">
        <v>908</v>
      </c>
      <c r="E91" s="1174"/>
      <c r="F91" s="1174"/>
      <c r="G91" s="1175"/>
      <c r="H91" s="1176" t="s">
        <v>909</v>
      </c>
      <c r="I91" s="1177"/>
      <c r="J91" s="1177"/>
      <c r="K91" s="1178"/>
      <c r="L91" s="1176" t="s">
        <v>910</v>
      </c>
      <c r="M91" s="1177"/>
      <c r="N91" s="1177"/>
      <c r="O91" s="1178"/>
      <c r="P91" s="1176" t="s">
        <v>909</v>
      </c>
      <c r="Q91" s="1177"/>
      <c r="R91" s="1177"/>
      <c r="S91" s="1178"/>
    </row>
    <row r="92" spans="2:19" x14ac:dyDescent="0.35">
      <c r="B92" s="1092" t="s">
        <v>911</v>
      </c>
      <c r="C92" s="1092" t="s">
        <v>912</v>
      </c>
      <c r="D92" s="676" t="s">
        <v>913</v>
      </c>
      <c r="E92" s="659" t="s">
        <v>785</v>
      </c>
      <c r="F92" s="648" t="s">
        <v>810</v>
      </c>
      <c r="G92" s="649" t="s">
        <v>835</v>
      </c>
      <c r="H92" s="676" t="s">
        <v>913</v>
      </c>
      <c r="I92" s="659" t="s">
        <v>785</v>
      </c>
      <c r="J92" s="648" t="s">
        <v>810</v>
      </c>
      <c r="K92" s="649" t="s">
        <v>835</v>
      </c>
      <c r="L92" s="676" t="s">
        <v>913</v>
      </c>
      <c r="M92" s="659" t="s">
        <v>785</v>
      </c>
      <c r="N92" s="648" t="s">
        <v>810</v>
      </c>
      <c r="O92" s="649" t="s">
        <v>835</v>
      </c>
      <c r="P92" s="676" t="s">
        <v>913</v>
      </c>
      <c r="Q92" s="659" t="s">
        <v>785</v>
      </c>
      <c r="R92" s="648" t="s">
        <v>810</v>
      </c>
      <c r="S92" s="649" t="s">
        <v>835</v>
      </c>
    </row>
    <row r="93" spans="2:19" x14ac:dyDescent="0.35">
      <c r="B93" s="1093"/>
      <c r="C93" s="1096"/>
      <c r="D93" s="635">
        <v>0</v>
      </c>
      <c r="E93" s="684" t="s">
        <v>786</v>
      </c>
      <c r="F93" s="650" t="s">
        <v>914</v>
      </c>
      <c r="G93" s="668" t="s">
        <v>915</v>
      </c>
      <c r="H93" s="638">
        <v>1</v>
      </c>
      <c r="I93" s="300" t="s">
        <v>786</v>
      </c>
      <c r="J93" s="679" t="s">
        <v>914</v>
      </c>
      <c r="K93" s="550" t="s">
        <v>915</v>
      </c>
      <c r="L93" s="638">
        <v>0</v>
      </c>
      <c r="M93" s="300" t="s">
        <v>786</v>
      </c>
      <c r="N93" s="679" t="s">
        <v>914</v>
      </c>
      <c r="O93" s="550" t="s">
        <v>915</v>
      </c>
      <c r="P93" s="638">
        <v>0</v>
      </c>
      <c r="Q93" s="300" t="s">
        <v>786</v>
      </c>
      <c r="R93" s="679" t="s">
        <v>914</v>
      </c>
      <c r="S93" s="550" t="s">
        <v>915</v>
      </c>
    </row>
    <row r="94" spans="2:19" x14ac:dyDescent="0.35">
      <c r="B94" s="1093"/>
      <c r="C94" s="1092" t="s">
        <v>916</v>
      </c>
      <c r="D94" s="648" t="s">
        <v>917</v>
      </c>
      <c r="E94" s="1116" t="s">
        <v>918</v>
      </c>
      <c r="F94" s="1142"/>
      <c r="G94" s="649" t="s">
        <v>919</v>
      </c>
      <c r="H94" s="648" t="s">
        <v>917</v>
      </c>
      <c r="I94" s="1116" t="s">
        <v>918</v>
      </c>
      <c r="J94" s="1142"/>
      <c r="K94" s="649" t="s">
        <v>919</v>
      </c>
      <c r="L94" s="648" t="s">
        <v>917</v>
      </c>
      <c r="M94" s="1116" t="s">
        <v>918</v>
      </c>
      <c r="N94" s="1142"/>
      <c r="O94" s="649" t="s">
        <v>919</v>
      </c>
      <c r="P94" s="648" t="s">
        <v>917</v>
      </c>
      <c r="Q94" s="1116" t="s">
        <v>918</v>
      </c>
      <c r="R94" s="1142"/>
      <c r="S94" s="649" t="s">
        <v>919</v>
      </c>
    </row>
    <row r="95" spans="2:19" x14ac:dyDescent="0.35">
      <c r="B95" s="1096"/>
      <c r="C95" s="1096"/>
      <c r="D95" s="680">
        <v>50</v>
      </c>
      <c r="E95" s="1169" t="s">
        <v>920</v>
      </c>
      <c r="F95" s="1170"/>
      <c r="G95" s="656" t="s">
        <v>804</v>
      </c>
      <c r="H95" s="682">
        <v>50</v>
      </c>
      <c r="I95" s="1171" t="s">
        <v>921</v>
      </c>
      <c r="J95" s="1172"/>
      <c r="K95" s="657" t="s">
        <v>805</v>
      </c>
      <c r="L95" s="682">
        <v>8</v>
      </c>
      <c r="M95" s="1171" t="s">
        <v>922</v>
      </c>
      <c r="N95" s="1172"/>
      <c r="O95" s="657" t="s">
        <v>878</v>
      </c>
      <c r="P95" s="682">
        <v>45</v>
      </c>
      <c r="Q95" s="1171" t="s">
        <v>922</v>
      </c>
      <c r="R95" s="1172"/>
      <c r="S95" s="657" t="s">
        <v>923</v>
      </c>
    </row>
    <row r="107" spans="5:5" x14ac:dyDescent="0.35">
      <c r="E107" s="108"/>
    </row>
    <row r="108" spans="5:5" x14ac:dyDescent="0.35">
      <c r="E108" s="109"/>
    </row>
    <row r="109" spans="5:5" x14ac:dyDescent="0.35">
      <c r="E109" s="110"/>
    </row>
    <row r="121" spans="2:4" x14ac:dyDescent="0.35">
      <c r="D121" s="111"/>
    </row>
    <row r="122" spans="2:4" x14ac:dyDescent="0.35">
      <c r="D122" s="111"/>
    </row>
    <row r="123" spans="2:4" x14ac:dyDescent="0.35">
      <c r="D123" s="111"/>
    </row>
    <row r="128" spans="2:4" x14ac:dyDescent="0.35">
      <c r="B128" s="117"/>
    </row>
    <row r="129" spans="2:2" x14ac:dyDescent="0.35">
      <c r="B129" s="117"/>
    </row>
    <row r="130" spans="2:2" x14ac:dyDescent="0.35">
      <c r="B130" s="117"/>
    </row>
    <row r="131" spans="2:2" x14ac:dyDescent="0.35">
      <c r="B131" s="117"/>
    </row>
    <row r="132" spans="2:2" x14ac:dyDescent="0.35">
      <c r="B132" s="117"/>
    </row>
    <row r="133" spans="2:2" x14ac:dyDescent="0.35">
      <c r="B133" s="117"/>
    </row>
    <row r="134" spans="2:2" x14ac:dyDescent="0.35">
      <c r="B134" s="117"/>
    </row>
    <row r="135" spans="2:2" x14ac:dyDescent="0.35">
      <c r="B135" s="117"/>
    </row>
    <row r="136" spans="2:2" x14ac:dyDescent="0.35">
      <c r="B136" s="117"/>
    </row>
    <row r="137" spans="2:2" x14ac:dyDescent="0.35">
      <c r="B137" s="117"/>
    </row>
    <row r="138" spans="2:2" x14ac:dyDescent="0.35">
      <c r="B138" s="117"/>
    </row>
    <row r="139" spans="2:2" x14ac:dyDescent="0.35">
      <c r="B139" s="117"/>
    </row>
    <row r="140" spans="2:2" x14ac:dyDescent="0.35">
      <c r="B140" s="117"/>
    </row>
    <row r="141" spans="2:2" x14ac:dyDescent="0.35">
      <c r="B141" s="117"/>
    </row>
    <row r="142" spans="2:2" x14ac:dyDescent="0.35">
      <c r="B142" s="117"/>
    </row>
    <row r="143" spans="2:2" x14ac:dyDescent="0.35">
      <c r="B143" s="117"/>
    </row>
    <row r="144" spans="2:2" x14ac:dyDescent="0.35">
      <c r="B144" s="117"/>
    </row>
    <row r="145" spans="2:4" x14ac:dyDescent="0.35">
      <c r="B145" s="117"/>
    </row>
    <row r="146" spans="2:4" x14ac:dyDescent="0.35">
      <c r="B146" s="117"/>
    </row>
    <row r="147" spans="2:4" x14ac:dyDescent="0.35">
      <c r="B147" s="117"/>
    </row>
    <row r="148" spans="2:4" x14ac:dyDescent="0.35">
      <c r="B148" s="117"/>
      <c r="D148"/>
    </row>
    <row r="149" spans="2:4" x14ac:dyDescent="0.35">
      <c r="B149" s="117"/>
      <c r="D149"/>
    </row>
    <row r="150" spans="2:4" x14ac:dyDescent="0.35">
      <c r="B150" s="117"/>
      <c r="D150"/>
    </row>
    <row r="151" spans="2:4" x14ac:dyDescent="0.35">
      <c r="B151" s="117"/>
      <c r="D151"/>
    </row>
    <row r="152" spans="2:4" x14ac:dyDescent="0.35">
      <c r="B152" s="117"/>
      <c r="D152"/>
    </row>
    <row r="153" spans="2:4" x14ac:dyDescent="0.35">
      <c r="B153" s="117"/>
      <c r="D153"/>
    </row>
    <row r="154" spans="2:4" x14ac:dyDescent="0.35">
      <c r="B154" s="117"/>
    </row>
    <row r="155" spans="2:4" x14ac:dyDescent="0.35">
      <c r="B155" s="117"/>
    </row>
    <row r="156" spans="2:4" x14ac:dyDescent="0.35">
      <c r="B156" s="117"/>
    </row>
    <row r="157" spans="2:4" x14ac:dyDescent="0.35">
      <c r="B157" s="117"/>
    </row>
    <row r="158" spans="2:4" x14ac:dyDescent="0.35">
      <c r="B158" s="117"/>
    </row>
    <row r="159" spans="2:4" x14ac:dyDescent="0.35">
      <c r="B159" s="117"/>
    </row>
    <row r="160" spans="2:4" x14ac:dyDescent="0.35">
      <c r="B160" s="117"/>
    </row>
    <row r="161" spans="2:2" x14ac:dyDescent="0.35">
      <c r="B161" s="117"/>
    </row>
    <row r="162" spans="2:2" x14ac:dyDescent="0.35">
      <c r="B162" s="117"/>
    </row>
    <row r="163" spans="2:2" x14ac:dyDescent="0.35">
      <c r="B163" s="117"/>
    </row>
    <row r="164" spans="2:2" x14ac:dyDescent="0.35">
      <c r="B164" s="117"/>
    </row>
    <row r="165" spans="2:2" x14ac:dyDescent="0.35">
      <c r="B165" s="117"/>
    </row>
    <row r="166" spans="2:2" x14ac:dyDescent="0.35">
      <c r="B166" s="117"/>
    </row>
    <row r="167" spans="2:2" x14ac:dyDescent="0.35">
      <c r="B167" s="117"/>
    </row>
    <row r="168" spans="2:2" x14ac:dyDescent="0.35">
      <c r="B168" s="117"/>
    </row>
    <row r="169" spans="2:2" x14ac:dyDescent="0.35">
      <c r="B169" s="117"/>
    </row>
    <row r="170" spans="2:2" x14ac:dyDescent="0.35">
      <c r="B170" s="117"/>
    </row>
    <row r="171" spans="2:2" x14ac:dyDescent="0.35">
      <c r="B171" s="117"/>
    </row>
    <row r="172" spans="2:2" x14ac:dyDescent="0.35">
      <c r="B172" s="117"/>
    </row>
    <row r="173" spans="2:2" x14ac:dyDescent="0.35">
      <c r="B173" s="117"/>
    </row>
    <row r="174" spans="2:2" x14ac:dyDescent="0.35">
      <c r="B174" s="117"/>
    </row>
    <row r="175" spans="2:2" x14ac:dyDescent="0.35">
      <c r="B175" s="117"/>
    </row>
    <row r="176" spans="2:2" x14ac:dyDescent="0.35">
      <c r="B176" s="117"/>
    </row>
    <row r="177" spans="2:2" x14ac:dyDescent="0.35">
      <c r="B177" s="117"/>
    </row>
    <row r="178" spans="2:2" x14ac:dyDescent="0.35">
      <c r="B178" s="117"/>
    </row>
    <row r="179" spans="2:2" x14ac:dyDescent="0.35">
      <c r="B179" s="117"/>
    </row>
    <row r="180" spans="2:2" x14ac:dyDescent="0.35">
      <c r="B180" s="117"/>
    </row>
    <row r="181" spans="2:2" x14ac:dyDescent="0.35">
      <c r="B181" s="117"/>
    </row>
    <row r="182" spans="2:2" x14ac:dyDescent="0.35">
      <c r="B182" s="117"/>
    </row>
    <row r="183" spans="2:2" x14ac:dyDescent="0.35">
      <c r="B183" s="117"/>
    </row>
    <row r="184" spans="2:2" x14ac:dyDescent="0.35">
      <c r="B184" s="117"/>
    </row>
    <row r="185" spans="2:2" x14ac:dyDescent="0.35">
      <c r="B185" s="117"/>
    </row>
    <row r="186" spans="2:2" x14ac:dyDescent="0.35">
      <c r="B186" s="117"/>
    </row>
    <row r="187" spans="2:2" x14ac:dyDescent="0.35">
      <c r="B187" s="117"/>
    </row>
    <row r="188" spans="2:2" x14ac:dyDescent="0.35">
      <c r="B188" s="117"/>
    </row>
    <row r="189" spans="2:2" x14ac:dyDescent="0.35">
      <c r="B189" s="117"/>
    </row>
    <row r="190" spans="2:2" x14ac:dyDescent="0.35">
      <c r="B190" s="117"/>
    </row>
    <row r="191" spans="2:2" x14ac:dyDescent="0.35">
      <c r="B191" s="117"/>
    </row>
    <row r="192" spans="2:2" x14ac:dyDescent="0.35">
      <c r="B192" s="117"/>
    </row>
    <row r="193" spans="2:2" x14ac:dyDescent="0.35">
      <c r="B193" s="117"/>
    </row>
    <row r="194" spans="2:2" x14ac:dyDescent="0.35">
      <c r="B194" s="117"/>
    </row>
    <row r="195" spans="2:2" x14ac:dyDescent="0.35">
      <c r="B195" s="117"/>
    </row>
    <row r="196" spans="2:2" x14ac:dyDescent="0.35">
      <c r="B196" s="117"/>
    </row>
    <row r="197" spans="2:2" x14ac:dyDescent="0.35">
      <c r="B197" s="117"/>
    </row>
    <row r="198" spans="2:2" x14ac:dyDescent="0.35">
      <c r="B198" s="117"/>
    </row>
    <row r="199" spans="2:2" x14ac:dyDescent="0.35">
      <c r="B199" s="117"/>
    </row>
    <row r="200" spans="2:2" x14ac:dyDescent="0.35">
      <c r="B200" s="117"/>
    </row>
    <row r="201" spans="2:2" x14ac:dyDescent="0.35">
      <c r="B201" s="117"/>
    </row>
    <row r="202" spans="2:2" x14ac:dyDescent="0.35">
      <c r="B202" s="117"/>
    </row>
    <row r="203" spans="2:2" x14ac:dyDescent="0.35">
      <c r="B203" s="117"/>
    </row>
    <row r="204" spans="2:2" x14ac:dyDescent="0.35">
      <c r="B204" s="117"/>
    </row>
    <row r="205" spans="2:2" x14ac:dyDescent="0.35">
      <c r="B205" s="117"/>
    </row>
    <row r="206" spans="2:2" x14ac:dyDescent="0.35">
      <c r="B206" s="117"/>
    </row>
    <row r="207" spans="2:2" x14ac:dyDescent="0.35">
      <c r="B207" s="117"/>
    </row>
    <row r="208" spans="2:2" x14ac:dyDescent="0.35">
      <c r="B208" s="117"/>
    </row>
    <row r="209" spans="2:2" x14ac:dyDescent="0.35">
      <c r="B209" s="117"/>
    </row>
    <row r="210" spans="2:2" x14ac:dyDescent="0.35">
      <c r="B210" s="117"/>
    </row>
    <row r="211" spans="2:2" x14ac:dyDescent="0.35">
      <c r="B211" s="117"/>
    </row>
    <row r="212" spans="2:2" x14ac:dyDescent="0.35">
      <c r="B212" s="117"/>
    </row>
    <row r="213" spans="2:2" x14ac:dyDescent="0.35">
      <c r="B213" s="117"/>
    </row>
    <row r="214" spans="2:2" x14ac:dyDescent="0.35">
      <c r="B214" s="117"/>
    </row>
    <row r="215" spans="2:2" x14ac:dyDescent="0.35">
      <c r="B215" s="117"/>
    </row>
    <row r="216" spans="2:2" x14ac:dyDescent="0.35">
      <c r="B216" s="117"/>
    </row>
    <row r="217" spans="2:2" x14ac:dyDescent="0.35">
      <c r="B217" s="117"/>
    </row>
    <row r="218" spans="2:2" x14ac:dyDescent="0.35">
      <c r="B218" s="117"/>
    </row>
    <row r="219" spans="2:2" x14ac:dyDescent="0.35">
      <c r="B219" s="117"/>
    </row>
    <row r="220" spans="2:2" x14ac:dyDescent="0.35">
      <c r="B220" s="117"/>
    </row>
    <row r="221" spans="2:2" x14ac:dyDescent="0.35">
      <c r="B221" s="117"/>
    </row>
    <row r="222" spans="2:2" x14ac:dyDescent="0.35">
      <c r="B222" s="117"/>
    </row>
    <row r="223" spans="2:2" x14ac:dyDescent="0.35">
      <c r="B223" s="117"/>
    </row>
    <row r="224" spans="2:2" x14ac:dyDescent="0.35">
      <c r="B224" s="117"/>
    </row>
    <row r="225" spans="2:2" x14ac:dyDescent="0.35">
      <c r="B225" s="117"/>
    </row>
    <row r="226" spans="2:2" x14ac:dyDescent="0.35">
      <c r="B226" s="117"/>
    </row>
    <row r="227" spans="2:2" x14ac:dyDescent="0.35">
      <c r="B227" s="117"/>
    </row>
    <row r="228" spans="2:2" x14ac:dyDescent="0.35">
      <c r="B228" s="117"/>
    </row>
    <row r="229" spans="2:2" x14ac:dyDescent="0.35">
      <c r="B229" s="117"/>
    </row>
    <row r="230" spans="2:2" x14ac:dyDescent="0.35">
      <c r="B230" s="117"/>
    </row>
    <row r="231" spans="2:2" x14ac:dyDescent="0.35">
      <c r="B231" s="117"/>
    </row>
    <row r="232" spans="2:2" x14ac:dyDescent="0.35">
      <c r="B232" s="117"/>
    </row>
    <row r="233" spans="2:2" x14ac:dyDescent="0.35">
      <c r="B233" s="117"/>
    </row>
    <row r="234" spans="2:2" x14ac:dyDescent="0.35">
      <c r="B234" s="117"/>
    </row>
    <row r="235" spans="2:2" x14ac:dyDescent="0.35">
      <c r="B235" s="117"/>
    </row>
    <row r="236" spans="2:2" x14ac:dyDescent="0.35">
      <c r="B236" s="117"/>
    </row>
    <row r="237" spans="2:2" x14ac:dyDescent="0.35">
      <c r="B237" s="117"/>
    </row>
    <row r="238" spans="2:2" x14ac:dyDescent="0.35">
      <c r="B238" s="117"/>
    </row>
    <row r="239" spans="2:2" x14ac:dyDescent="0.35">
      <c r="B239" s="117"/>
    </row>
    <row r="240" spans="2:2" x14ac:dyDescent="0.35">
      <c r="B240" s="117"/>
    </row>
    <row r="241" spans="2:2" x14ac:dyDescent="0.35">
      <c r="B241" s="117"/>
    </row>
    <row r="242" spans="2:2" x14ac:dyDescent="0.35">
      <c r="B242" s="117"/>
    </row>
    <row r="243" spans="2:2" x14ac:dyDescent="0.35">
      <c r="B243" s="117"/>
    </row>
    <row r="244" spans="2:2" x14ac:dyDescent="0.35">
      <c r="B244" s="117"/>
    </row>
    <row r="245" spans="2:2" x14ac:dyDescent="0.35">
      <c r="B245" s="117"/>
    </row>
    <row r="246" spans="2:2" x14ac:dyDescent="0.35">
      <c r="B246" s="117"/>
    </row>
    <row r="247" spans="2:2" x14ac:dyDescent="0.35">
      <c r="B247" s="117"/>
    </row>
    <row r="248" spans="2:2" x14ac:dyDescent="0.35">
      <c r="B248" s="117"/>
    </row>
    <row r="249" spans="2:2" x14ac:dyDescent="0.35">
      <c r="B249" s="117"/>
    </row>
    <row r="250" spans="2:2" x14ac:dyDescent="0.35">
      <c r="B250" s="117"/>
    </row>
    <row r="251" spans="2:2" x14ac:dyDescent="0.35">
      <c r="B251" s="117"/>
    </row>
    <row r="252" spans="2:2" x14ac:dyDescent="0.35">
      <c r="B252" s="117"/>
    </row>
    <row r="253" spans="2:2" x14ac:dyDescent="0.35">
      <c r="B253" s="117"/>
    </row>
    <row r="254" spans="2:2" x14ac:dyDescent="0.35">
      <c r="B254" s="117"/>
    </row>
    <row r="255" spans="2:2" x14ac:dyDescent="0.35">
      <c r="B255" s="117"/>
    </row>
    <row r="256" spans="2:2" x14ac:dyDescent="0.35">
      <c r="B256" s="117"/>
    </row>
    <row r="257" spans="2:2" x14ac:dyDescent="0.35">
      <c r="B257" s="117"/>
    </row>
    <row r="258" spans="2:2" x14ac:dyDescent="0.35">
      <c r="B258" s="117"/>
    </row>
    <row r="259" spans="2:2" x14ac:dyDescent="0.35">
      <c r="B259" s="117"/>
    </row>
    <row r="260" spans="2:2" x14ac:dyDescent="0.35">
      <c r="B260" s="117"/>
    </row>
    <row r="261" spans="2:2" x14ac:dyDescent="0.35">
      <c r="B261" s="117"/>
    </row>
    <row r="262" spans="2:2" x14ac:dyDescent="0.35">
      <c r="B262" s="117"/>
    </row>
    <row r="263" spans="2:2" x14ac:dyDescent="0.35">
      <c r="B263" s="117"/>
    </row>
    <row r="264" spans="2:2" x14ac:dyDescent="0.35">
      <c r="B264" s="117"/>
    </row>
    <row r="265" spans="2:2" x14ac:dyDescent="0.35">
      <c r="B265" s="117"/>
    </row>
    <row r="266" spans="2:2" x14ac:dyDescent="0.35">
      <c r="B266" s="117"/>
    </row>
    <row r="267" spans="2:2" x14ac:dyDescent="0.35">
      <c r="B267" s="117"/>
    </row>
    <row r="268" spans="2:2" x14ac:dyDescent="0.35">
      <c r="B268" s="117"/>
    </row>
    <row r="269" spans="2:2" x14ac:dyDescent="0.35">
      <c r="B269" s="117"/>
    </row>
    <row r="270" spans="2:2" x14ac:dyDescent="0.35">
      <c r="B270" s="117"/>
    </row>
    <row r="271" spans="2:2" x14ac:dyDescent="0.35">
      <c r="B271" s="117"/>
    </row>
    <row r="272" spans="2:2" x14ac:dyDescent="0.35">
      <c r="B272" s="117"/>
    </row>
    <row r="273" spans="2:2" x14ac:dyDescent="0.35">
      <c r="B273" s="117"/>
    </row>
    <row r="274" spans="2:2" x14ac:dyDescent="0.35">
      <c r="B274" s="117"/>
    </row>
    <row r="275" spans="2:2" x14ac:dyDescent="0.35">
      <c r="B275" s="117"/>
    </row>
    <row r="276" spans="2:2" x14ac:dyDescent="0.35">
      <c r="B276" s="117"/>
    </row>
    <row r="277" spans="2:2" x14ac:dyDescent="0.35">
      <c r="B277" s="117"/>
    </row>
    <row r="278" spans="2:2" x14ac:dyDescent="0.35">
      <c r="B278" s="117"/>
    </row>
    <row r="279" spans="2:2" x14ac:dyDescent="0.35">
      <c r="B279" s="117"/>
    </row>
    <row r="280" spans="2:2" x14ac:dyDescent="0.35">
      <c r="B280" s="117"/>
    </row>
    <row r="281" spans="2:2" x14ac:dyDescent="0.35">
      <c r="B281" s="117"/>
    </row>
    <row r="282" spans="2:2" x14ac:dyDescent="0.35">
      <c r="B282" s="117"/>
    </row>
    <row r="283" spans="2:2" x14ac:dyDescent="0.35">
      <c r="B283" s="117"/>
    </row>
    <row r="284" spans="2:2" x14ac:dyDescent="0.35">
      <c r="B284" s="117"/>
    </row>
    <row r="285" spans="2:2" x14ac:dyDescent="0.35">
      <c r="B285" s="117"/>
    </row>
    <row r="286" spans="2:2" x14ac:dyDescent="0.35">
      <c r="B286" s="117"/>
    </row>
  </sheetData>
  <dataConsolidate/>
  <mergeCells count="280">
    <mergeCell ref="B92:B95"/>
    <mergeCell ref="C92:C93"/>
    <mergeCell ref="C94:C95"/>
    <mergeCell ref="E94:F94"/>
    <mergeCell ref="I94:J94"/>
    <mergeCell ref="M94:N94"/>
    <mergeCell ref="Q94:R94"/>
    <mergeCell ref="E95:F95"/>
    <mergeCell ref="I95:J95"/>
    <mergeCell ref="M95:N95"/>
    <mergeCell ref="Q95:R95"/>
    <mergeCell ref="D89:G89"/>
    <mergeCell ref="H89:K89"/>
    <mergeCell ref="L89:O89"/>
    <mergeCell ref="P89:S89"/>
    <mergeCell ref="B90:B91"/>
    <mergeCell ref="C90:C91"/>
    <mergeCell ref="D90:G90"/>
    <mergeCell ref="H90:K90"/>
    <mergeCell ref="L90:O90"/>
    <mergeCell ref="P90:S90"/>
    <mergeCell ref="D91:G91"/>
    <mergeCell ref="H91:K91"/>
    <mergeCell ref="L91:O91"/>
    <mergeCell ref="P91:S91"/>
    <mergeCell ref="B84:B87"/>
    <mergeCell ref="C84:C85"/>
    <mergeCell ref="E86:F86"/>
    <mergeCell ref="I86:J86"/>
    <mergeCell ref="M86:N86"/>
    <mergeCell ref="R86:S86"/>
    <mergeCell ref="E87:F87"/>
    <mergeCell ref="I87:J87"/>
    <mergeCell ref="M87:N87"/>
    <mergeCell ref="R87:S87"/>
    <mergeCell ref="B80:B83"/>
    <mergeCell ref="C80:C81"/>
    <mergeCell ref="F80:G80"/>
    <mergeCell ref="J80:K80"/>
    <mergeCell ref="N80:O80"/>
    <mergeCell ref="R80:S80"/>
    <mergeCell ref="F81:G81"/>
    <mergeCell ref="J81:K81"/>
    <mergeCell ref="N81:O81"/>
    <mergeCell ref="R81:S81"/>
    <mergeCell ref="C82:C83"/>
    <mergeCell ref="E76:E77"/>
    <mergeCell ref="F76:F77"/>
    <mergeCell ref="G76:G77"/>
    <mergeCell ref="H76:H77"/>
    <mergeCell ref="I76:I77"/>
    <mergeCell ref="J76:J77"/>
    <mergeCell ref="K76:K77"/>
    <mergeCell ref="L76:L77"/>
    <mergeCell ref="M76:M77"/>
    <mergeCell ref="K70:K71"/>
    <mergeCell ref="L70:L71"/>
    <mergeCell ref="M70:M71"/>
    <mergeCell ref="N70:N71"/>
    <mergeCell ref="O70:O71"/>
    <mergeCell ref="P70:P71"/>
    <mergeCell ref="Q70:Q71"/>
    <mergeCell ref="R70:R71"/>
    <mergeCell ref="S70:S71"/>
    <mergeCell ref="K67:K68"/>
    <mergeCell ref="L67:L68"/>
    <mergeCell ref="M67:M68"/>
    <mergeCell ref="N67:N68"/>
    <mergeCell ref="O67:O68"/>
    <mergeCell ref="P67:P68"/>
    <mergeCell ref="Q67:Q68"/>
    <mergeCell ref="R67:R68"/>
    <mergeCell ref="S67:S68"/>
    <mergeCell ref="B66:B77"/>
    <mergeCell ref="C66:C77"/>
    <mergeCell ref="D67:D68"/>
    <mergeCell ref="E67:E68"/>
    <mergeCell ref="F67:F68"/>
    <mergeCell ref="G67:G68"/>
    <mergeCell ref="H67:H68"/>
    <mergeCell ref="I67:I68"/>
    <mergeCell ref="J67:J68"/>
    <mergeCell ref="D70:D71"/>
    <mergeCell ref="E70:E71"/>
    <mergeCell ref="F70:F71"/>
    <mergeCell ref="G70:G71"/>
    <mergeCell ref="H70:H71"/>
    <mergeCell ref="I70:I71"/>
    <mergeCell ref="J70:J71"/>
    <mergeCell ref="D73:D74"/>
    <mergeCell ref="E73:E74"/>
    <mergeCell ref="F73:F74"/>
    <mergeCell ref="G73:G74"/>
    <mergeCell ref="H73:H74"/>
    <mergeCell ref="I73:I74"/>
    <mergeCell ref="J73:J74"/>
    <mergeCell ref="D76:D77"/>
    <mergeCell ref="D63:G63"/>
    <mergeCell ref="H63:K63"/>
    <mergeCell ref="L63:O63"/>
    <mergeCell ref="P63:S63"/>
    <mergeCell ref="D64:E64"/>
    <mergeCell ref="H64:I64"/>
    <mergeCell ref="L64:M64"/>
    <mergeCell ref="P64:Q64"/>
    <mergeCell ref="D65:E65"/>
    <mergeCell ref="B59:B61"/>
    <mergeCell ref="C59:C61"/>
    <mergeCell ref="E59:F59"/>
    <mergeCell ref="I59:J59"/>
    <mergeCell ref="M59:N59"/>
    <mergeCell ref="Q59:R59"/>
    <mergeCell ref="E60:F60"/>
    <mergeCell ref="I60:J60"/>
    <mergeCell ref="M60:N60"/>
    <mergeCell ref="Q60:R60"/>
    <mergeCell ref="E61:F61"/>
    <mergeCell ref="I61:J61"/>
    <mergeCell ref="M61:N61"/>
    <mergeCell ref="Q61:R61"/>
    <mergeCell ref="D53:G53"/>
    <mergeCell ref="H53:K53"/>
    <mergeCell ref="L53:O53"/>
    <mergeCell ref="P53:S53"/>
    <mergeCell ref="B54:B58"/>
    <mergeCell ref="C54:C55"/>
    <mergeCell ref="F54:G54"/>
    <mergeCell ref="J54:K54"/>
    <mergeCell ref="N54:O54"/>
    <mergeCell ref="R54:S54"/>
    <mergeCell ref="F55:G55"/>
    <mergeCell ref="J55:K55"/>
    <mergeCell ref="N55:O55"/>
    <mergeCell ref="R55:S55"/>
    <mergeCell ref="C56:C58"/>
    <mergeCell ref="F58:G58"/>
    <mergeCell ref="J58:K58"/>
    <mergeCell ref="N58:O58"/>
    <mergeCell ref="R58:S58"/>
    <mergeCell ref="R56:S56"/>
    <mergeCell ref="R57:S57"/>
    <mergeCell ref="B50:B51"/>
    <mergeCell ref="C50:C51"/>
    <mergeCell ref="F50:G50"/>
    <mergeCell ref="J50:K50"/>
    <mergeCell ref="N50:O50"/>
    <mergeCell ref="R50:S50"/>
    <mergeCell ref="F51:G51"/>
    <mergeCell ref="J51:K51"/>
    <mergeCell ref="N51:O51"/>
    <mergeCell ref="R51:S51"/>
    <mergeCell ref="B48:B49"/>
    <mergeCell ref="C48:C49"/>
    <mergeCell ref="D48:E48"/>
    <mergeCell ref="F48:G48"/>
    <mergeCell ref="H48:I48"/>
    <mergeCell ref="J48:K48"/>
    <mergeCell ref="L48:M48"/>
    <mergeCell ref="N48:O48"/>
    <mergeCell ref="P48:Q48"/>
    <mergeCell ref="D49:E49"/>
    <mergeCell ref="F49:G49"/>
    <mergeCell ref="H49:I49"/>
    <mergeCell ref="J49:K49"/>
    <mergeCell ref="L49:M49"/>
    <mergeCell ref="N49:O49"/>
    <mergeCell ref="P49:Q49"/>
    <mergeCell ref="B42:B45"/>
    <mergeCell ref="C42:C43"/>
    <mergeCell ref="F42:G42"/>
    <mergeCell ref="J42:K42"/>
    <mergeCell ref="N42:O42"/>
    <mergeCell ref="R42:S42"/>
    <mergeCell ref="F43:G43"/>
    <mergeCell ref="J43:K43"/>
    <mergeCell ref="N43:O43"/>
    <mergeCell ref="R43:S43"/>
    <mergeCell ref="C44:C45"/>
    <mergeCell ref="L38:O38"/>
    <mergeCell ref="P38:S38"/>
    <mergeCell ref="B39:B41"/>
    <mergeCell ref="C39:C41"/>
    <mergeCell ref="D39:E39"/>
    <mergeCell ref="H39:I39"/>
    <mergeCell ref="L39:M39"/>
    <mergeCell ref="P39:Q39"/>
    <mergeCell ref="F40:F41"/>
    <mergeCell ref="G40:G41"/>
    <mergeCell ref="J40:J41"/>
    <mergeCell ref="K40:K41"/>
    <mergeCell ref="N40:N41"/>
    <mergeCell ref="O40:O41"/>
    <mergeCell ref="R40:R41"/>
    <mergeCell ref="S40:S41"/>
    <mergeCell ref="H38:K38"/>
    <mergeCell ref="C2:G2"/>
    <mergeCell ref="B6:G6"/>
    <mergeCell ref="B7:G7"/>
    <mergeCell ref="B8:G8"/>
    <mergeCell ref="C3:G3"/>
    <mergeCell ref="C86:C87"/>
    <mergeCell ref="D79:G79"/>
    <mergeCell ref="H79:K79"/>
    <mergeCell ref="L79:O79"/>
    <mergeCell ref="B64:B65"/>
    <mergeCell ref="C64:C65"/>
    <mergeCell ref="F56:G56"/>
    <mergeCell ref="J56:K56"/>
    <mergeCell ref="N56:O56"/>
    <mergeCell ref="F57:G57"/>
    <mergeCell ref="J57:K57"/>
    <mergeCell ref="N57:O57"/>
    <mergeCell ref="D47:G47"/>
    <mergeCell ref="H47:K47"/>
    <mergeCell ref="L47:O47"/>
    <mergeCell ref="I32:I33"/>
    <mergeCell ref="L32:L33"/>
    <mergeCell ref="M32:M33"/>
    <mergeCell ref="D38:G38"/>
    <mergeCell ref="P79:S79"/>
    <mergeCell ref="K73:K74"/>
    <mergeCell ref="L73:L74"/>
    <mergeCell ref="M73:M74"/>
    <mergeCell ref="N73:N74"/>
    <mergeCell ref="O73:O74"/>
    <mergeCell ref="P73:P74"/>
    <mergeCell ref="Q73:Q74"/>
    <mergeCell ref="R73:R74"/>
    <mergeCell ref="S73:S74"/>
    <mergeCell ref="N76:N77"/>
    <mergeCell ref="O76:O77"/>
    <mergeCell ref="P76:P77"/>
    <mergeCell ref="Q76:Q77"/>
    <mergeCell ref="R76:R77"/>
    <mergeCell ref="S76:S77"/>
    <mergeCell ref="P47:S47"/>
    <mergeCell ref="R48:S48"/>
    <mergeCell ref="R49:S49"/>
    <mergeCell ref="F27:F28"/>
    <mergeCell ref="G27:G28"/>
    <mergeCell ref="J27:J28"/>
    <mergeCell ref="B26:B28"/>
    <mergeCell ref="C26:C28"/>
    <mergeCell ref="D26:E26"/>
    <mergeCell ref="H26:I26"/>
    <mergeCell ref="B29:B30"/>
    <mergeCell ref="C29:C30"/>
    <mergeCell ref="B31:B36"/>
    <mergeCell ref="C31:C36"/>
    <mergeCell ref="D32:D33"/>
    <mergeCell ref="E32:E33"/>
    <mergeCell ref="H32:H33"/>
    <mergeCell ref="L26:M26"/>
    <mergeCell ref="P26:Q26"/>
    <mergeCell ref="R27:R28"/>
    <mergeCell ref="S27:S28"/>
    <mergeCell ref="K27:K28"/>
    <mergeCell ref="N27:N28"/>
    <mergeCell ref="O27:O28"/>
    <mergeCell ref="P32:P33"/>
    <mergeCell ref="Q32:Q33"/>
    <mergeCell ref="D35:D36"/>
    <mergeCell ref="E35:E36"/>
    <mergeCell ref="H35:H36"/>
    <mergeCell ref="I35:I36"/>
    <mergeCell ref="L35:L36"/>
    <mergeCell ref="M35:M36"/>
    <mergeCell ref="P35:P36"/>
    <mergeCell ref="Q35:Q36"/>
    <mergeCell ref="B10:C10"/>
    <mergeCell ref="D19:G19"/>
    <mergeCell ref="H19:K19"/>
    <mergeCell ref="L19:O19"/>
    <mergeCell ref="P19:S19"/>
    <mergeCell ref="B20:B23"/>
    <mergeCell ref="C20:C23"/>
    <mergeCell ref="D25:G25"/>
    <mergeCell ref="H25:K25"/>
    <mergeCell ref="L25:O25"/>
    <mergeCell ref="P25:S25"/>
  </mergeCells>
  <conditionalFormatting sqref="E102">
    <cfRule type="iconSet" priority="1">
      <iconSet iconSet="4ArrowsGray">
        <cfvo type="percent" val="0"/>
        <cfvo type="percent" val="25"/>
        <cfvo type="percent" val="50"/>
        <cfvo type="percent" val="75"/>
      </iconSet>
    </cfRule>
  </conditionalFormatting>
  <dataValidations xWindow="633" yWindow="580" count="65">
    <dataValidation type="whole" allowBlank="1" showInputMessage="1" showErrorMessage="1" error="Please enter a number here" prompt="Please enter a number" sqref="D60:D61 H60:H61 L60:L61 P60:P61" xr:uid="{00000000-0002-0000-0600-000000000000}">
      <formula1>0</formula1>
      <formula2>9999999999999990</formula2>
    </dataValidation>
    <dataValidation type="list" allowBlank="1" showInputMessage="1" showErrorMessage="1" sqref="I60:J61 E60:F61 M60:N61 Q60:R61" xr:uid="{00000000-0002-0000-0600-000001000000}">
      <formula1>ss</formula1>
    </dataValidation>
    <dataValidation type="list" allowBlank="1" showInputMessage="1" showErrorMessage="1" prompt="Select targeted asset" sqref="Q57:Q58 M57:M58 I57:I58 E57:E58" xr:uid="{00000000-0002-0000-0600-000002000000}">
      <formula1>$J$131:$J$132</formula1>
    </dataValidation>
    <dataValidation type="list" allowBlank="1" showInputMessage="1" showErrorMessage="1" prompt="Select changes in asset" sqref="J57:K58 N57:O58 R57:S58 F57:G58" xr:uid="{00000000-0002-0000-0600-000003000000}">
      <formula1>$I$121:$I$125</formula1>
    </dataValidation>
    <dataValidation type="list" allowBlank="1" showInputMessage="1" showErrorMessage="1" prompt="Select type of policy" sqref="G93" xr:uid="{00000000-0002-0000-0600-000004000000}">
      <formula1>$H$130:$H$151</formula1>
    </dataValidation>
    <dataValidation type="list" allowBlank="1" showInputMessage="1" showErrorMessage="1" prompt="Select type of assets" sqref="I85 M85 Q85 E85" xr:uid="{00000000-0002-0000-0600-000005000000}">
      <formula1>$L$106:$L$112</formula1>
    </dataValidation>
    <dataValidation type="whole" allowBlank="1" showInputMessage="1" showErrorMessage="1" error="Please enter a number here" prompt="Enter No. of development strategies" sqref="D95 L95 H95 P95" xr:uid="{00000000-0002-0000-0600-000006000000}">
      <formula1>0</formula1>
      <formula2>999999999</formula2>
    </dataValidation>
    <dataValidation type="whole" allowBlank="1" showInputMessage="1" showErrorMessage="1" error="Please enter a number" prompt="Enter No. of policy introduced or adjusted" sqref="L93 D93 H93 P93" xr:uid="{00000000-0002-0000-0600-000007000000}">
      <formula1>0</formula1>
      <formula2>999999999999</formula2>
    </dataValidation>
    <dataValidation type="decimal" allowBlank="1" showInputMessage="1" showErrorMessage="1" error="Please enter a number" prompt="Enter income level of households" sqref="O87 K87 G87" xr:uid="{00000000-0002-0000-0600-000008000000}">
      <formula1>0</formula1>
      <formula2>9999999999999</formula2>
    </dataValidation>
    <dataValidation type="whole" allowBlank="1" showInputMessage="1" showErrorMessage="1" prompt="Enter number of households" sqref="P87 L87 H87 D87" xr:uid="{00000000-0002-0000-0600-000009000000}">
      <formula1>0</formula1>
      <formula2>999999999999</formula2>
    </dataValidation>
    <dataValidation type="whole" allowBlank="1" showInputMessage="1" showErrorMessage="1" prompt="Enter number of assets" sqref="H85 L85 P85 D85" xr:uid="{00000000-0002-0000-0600-00000A000000}">
      <formula1>0</formula1>
      <formula2>9999999999999</formula2>
    </dataValidation>
    <dataValidation type="whole" allowBlank="1" showInputMessage="1" showErrorMessage="1" error="Please enter a number here" prompt="Please enter the No. of targeted households" sqref="P83 L83 H83 D83 P81 L81 H81 D81" xr:uid="{00000000-0002-0000-0600-00000B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76:Q77 Q73:Q74 M70:M71 M67:M68 E67:E68 M73:M74 M76:M77 I76:I77 I73:I74 I70:I71 Q67:Q68 I67:I68 E76:E77 E73:E74 E70:E71 Q70:Q71" xr:uid="{00000000-0002-0000-0600-00000C000000}">
      <formula1>0</formula1>
    </dataValidation>
    <dataValidation type="decimal" allowBlank="1" showInputMessage="1" showErrorMessage="1" errorTitle="Invalid data" error="Please enter a number" prompt="Please enter a number here" sqref="P51 L51 H51 D51 E40 I40" xr:uid="{00000000-0002-0000-0600-00000D000000}">
      <formula1>0</formula1>
      <formula2>9999999999</formula2>
    </dataValidation>
    <dataValidation type="decimal" allowBlank="1" showInputMessage="1" showErrorMessage="1" errorTitle="Invalid data" error="Please enter a number" prompt="Enter total number of staff trained" sqref="D43 H43" xr:uid="{00000000-0002-0000-0600-00000E000000}">
      <formula1>0</formula1>
      <formula2>9999999999</formula2>
    </dataValidation>
    <dataValidation type="decimal" allowBlank="1" showInputMessage="1" showErrorMessage="1" errorTitle="Invalid data" error="Please enter a number" sqref="M40 L43 P43 Q40" xr:uid="{00000000-0002-0000-0600-00000F000000}">
      <formula1>0</formula1>
      <formula2>9999999999</formula2>
    </dataValidation>
    <dataValidation type="decimal" allowBlank="1" showInputMessage="1" showErrorMessage="1" errorTitle="Invalid data" error="Please enter a number" prompt="Enter the number of municipalities covered by the Early Warning System" sqref="S36 S33 O36 O33 K36 K33 G36 G33" xr:uid="{00000000-0002-0000-0600-000010000000}">
      <formula1>0</formula1>
      <formula2>9999999</formula2>
    </dataValidation>
    <dataValidation type="list" allowBlank="1" showInputMessage="1" showErrorMessage="1" error="Select from the drop-down list" prompt="Select the geographical coverage of the Early Warning System" sqref="G32 G35 K32 K35 O32 O35 S32 S35" xr:uid="{00000000-0002-0000-0600-000011000000}">
      <formula1>$D$117:$D$119</formula1>
    </dataValidation>
    <dataValidation type="decimal" allowBlank="1" showInputMessage="1" showErrorMessage="1" errorTitle="Invalid data" error="Please enter a number here" prompt="Enter the number of adopted Early Warning Systems" sqref="D32:D33 H32:H33 L32:L33 P32:P33 D35:D36 H35:H36 L35:L36 P35:P36" xr:uid="{00000000-0002-0000-0600-000012000000}">
      <formula1>0</formula1>
      <formula2>9999999999</formula2>
    </dataValidation>
    <dataValidation type="list" allowBlank="1" showInputMessage="1" showErrorMessage="1" prompt="Select income source" sqref="E87:F87 I87 M87 R87" xr:uid="{00000000-0002-0000-0600-000013000000}">
      <formula1>$K$105:$K$119</formula1>
    </dataValidation>
    <dataValidation type="list" allowBlank="1" showInputMessage="1" showErrorMessage="1" prompt="Please select the alternate source" sqref="S83 G83 K83 O83" xr:uid="{00000000-0002-0000-0600-000014000000}">
      <formula1>$K$105:$K$119</formula1>
    </dataValidation>
    <dataValidation type="list" allowBlank="1" showInputMessage="1" showErrorMessage="1" prompt="Select % increase in income level" sqref="R83 F83 J83 N83" xr:uid="{00000000-0002-0000-0600-000015000000}">
      <formula1>$E$134:$E$142</formula1>
    </dataValidation>
    <dataValidation type="list" allowBlank="1" showInputMessage="1" showErrorMessage="1" prompt="Select type of natural assets protected or rehabilitated" sqref="L67:L68 D67:D68 P76:P77 P73:P74 L70:L71 L76:L77 L73:L74 P67:P68 H76:H77 H73:H74 H70:H71 H67:H68 D76:D77 D73:D74 D70:D71 P70:P71" xr:uid="{00000000-0002-0000-0600-000016000000}">
      <formula1>$C$132:$C$139</formula1>
    </dataValidation>
    <dataValidation type="list" allowBlank="1" showInputMessage="1" showErrorMessage="1" prompt="Enter the unit and type of the natural asset of ecosystem restored" sqref="J67:J68 F67:F68 F70:F71 F73:F74 F76:F77 N76:N77 N73:N74 R67:R68 J76:J77 J73:J74 J70:J71 N67:N68 N70:N71 R70:R71" xr:uid="{00000000-0002-0000-0600-000017000000}">
      <formula1>$C$126:$C$129</formula1>
    </dataValidation>
    <dataValidation type="list" allowBlank="1" showInputMessage="1" showErrorMessage="1" error="Select from the drop-down list" prompt="Select category of early warning systems_x000a__x000a_" sqref="M32:M33 I32:I33 E32:E33 M35:M36 I35:I36 E35:E36 Q32:Q33 Q35:Q36" xr:uid="{00000000-0002-0000-0600-000018000000}">
      <formula1>$D$129:$D$132</formula1>
    </dataValidation>
    <dataValidation type="list" allowBlank="1" showInputMessage="1" showErrorMessage="1" prompt="Select status" sqref="S30 G30 K30 O30" xr:uid="{00000000-0002-0000-0600-000019000000}">
      <formula1>$E$129:$E$131</formula1>
    </dataValidation>
    <dataValidation type="list" allowBlank="1" showInputMessage="1" showErrorMessage="1" sqref="E108:E109" xr:uid="{00000000-0002-0000-0600-00001A000000}">
      <formula1>$D$16:$D$18</formula1>
    </dataValidation>
    <dataValidation type="list" allowBlank="1" showInputMessage="1" showErrorMessage="1" prompt="Select effectiveness" sqref="K95 O95 G95 S95" xr:uid="{00000000-0002-0000-0600-00001B000000}">
      <formula1>$K$121:$K$125</formula1>
    </dataValidation>
    <dataValidation type="list" allowBlank="1" showInputMessage="1" showErrorMessage="1" prompt="Select a sector" sqref="J49:K49 N49:O49 R49:S49 F49:G49" xr:uid="{00000000-0002-0000-0600-00001C000000}">
      <formula1>$J$112:$J$120</formula1>
    </dataValidation>
    <dataValidation type="decimal" allowBlank="1" showInputMessage="1" showErrorMessage="1" errorTitle="Invalid data" error="Please enter a number between 0 and 9999999" prompt="Enter a number here" sqref="Q27 M21:O21 Q21:S21 E27 I27 M27 E21:G21 I21:K21" xr:uid="{00000000-0002-0000-0600-00001D000000}">
      <formula1>0</formula1>
      <formula2>99999999999</formula2>
    </dataValidation>
    <dataValidation type="decimal" allowBlank="1" showInputMessage="1" showErrorMessage="1" errorTitle="Invalid data" error="Enter a percentage between 0 and 100" prompt="Enter a percentage (between 0 and 100)" sqref="R22:S23 F22:G23 J22:K23 M22:O23" xr:uid="{00000000-0002-0000-0600-00001E000000}">
      <formula1>0</formula1>
      <formula2>100</formula2>
    </dataValidation>
    <dataValidation type="decimal" allowBlank="1" showInputMessage="1" showErrorMessage="1" errorTitle="Invalid data" error="Please enter a number between 0 and 100" prompt="Enter a percentage between 0 and 100" sqref="P49:Q49 L49:M49 H49:I49 Q83 M83 I83 E83 D49:E49 Q41 I81 M81 Q81 Q51 M51 I51 Q43 E43 I43 Q28 M43 M41 E81 E41 I41 E28 I28 M28 Q22:Q23 E51 E22:E23 I22:I23" xr:uid="{00000000-0002-0000-0600-00001F000000}">
      <formula1>0</formula1>
      <formula2>100</formula2>
    </dataValidation>
    <dataValidation type="list" allowBlank="1" showInputMessage="1" showErrorMessage="1" prompt="Select type of policy" sqref="O93 K93 S93" xr:uid="{00000000-0002-0000-0600-000020000000}">
      <formula1>policy</formula1>
    </dataValidation>
    <dataValidation type="list" allowBlank="1" showInputMessage="1" showErrorMessage="1" prompt="Select income source" sqref="Q87" xr:uid="{00000000-0002-0000-0600-000021000000}">
      <formula1>incomesource</formula1>
    </dataValidation>
    <dataValidation type="list" allowBlank="1" showInputMessage="1" showErrorMessage="1" prompt="Select the effectiveness of protection/rehabilitation" sqref="S76 S73" xr:uid="{00000000-0002-0000-0600-000022000000}">
      <formula1>effectiveness</formula1>
    </dataValidation>
    <dataValidation type="list" allowBlank="1" showInputMessage="1" showErrorMessage="1" prompt="Select programme/sector" sqref="J65 N65 R65 F65" xr:uid="{00000000-0002-0000-0600-000023000000}">
      <formula1>$J$112:$J$120</formula1>
    </dataValidation>
    <dataValidation type="list" allowBlank="1" showInputMessage="1" showErrorMessage="1" prompt="Select level of improvements" sqref="Q65 M65 I65" xr:uid="{00000000-0002-0000-0600-000024000000}">
      <formula1>effectiveness</formula1>
    </dataValidation>
    <dataValidation type="list" allowBlank="1" showInputMessage="1" showErrorMessage="1" prompt="Select response level" sqref="J55 N55 R55 F55" xr:uid="{00000000-0002-0000-0600-000025000000}">
      <formula1>$H$121:$H$125</formula1>
    </dataValidation>
    <dataValidation type="list" allowBlank="1" showInputMessage="1" showErrorMessage="1" prompt="Select geographical scale" sqref="I55 M55 Q55 E55" xr:uid="{00000000-0002-0000-0600-000026000000}">
      <formula1>$D$117:$D$119</formula1>
    </dataValidation>
    <dataValidation type="list" allowBlank="1" showInputMessage="1" showErrorMessage="1" prompt="Select project/programme sector" sqref="H55 L55 P55 E30 I30 M30 Q30 D55" xr:uid="{00000000-0002-0000-0600-000027000000}">
      <formula1>$J$112:$J$120</formula1>
    </dataValidation>
    <dataValidation type="list" allowBlank="1" showInputMessage="1" showErrorMessage="1" prompt="Select level of awarness" sqref="J51:K51 N51:O51 R51:S51 F51:G51" xr:uid="{00000000-0002-0000-0600-000028000000}">
      <formula1>$G$121:$G$125</formula1>
    </dataValidation>
    <dataValidation type="list" allowBlank="1" showInputMessage="1" showErrorMessage="1" prompt="Select scale" sqref="O45 K45 S45 G45" xr:uid="{00000000-0002-0000-0600-000029000000}">
      <formula1>$F$121:$F$124</formula1>
    </dataValidation>
    <dataValidation type="list" allowBlank="1" showInputMessage="1" showErrorMessage="1" prompt="Select scale" sqref="J93 F93 N93 F30 J30 N30 R30 E45 I45 M45 Q45 R93" xr:uid="{00000000-0002-0000-0600-00002A000000}">
      <formula1>$D$117:$D$119</formula1>
    </dataValidation>
    <dataValidation type="list" allowBlank="1" showInputMessage="1" showErrorMessage="1" prompt="Select capacity level" sqref="O40 K40 S40 G40" xr:uid="{00000000-0002-0000-0600-00002B000000}">
      <formula1>$F$121:$F$124</formula1>
    </dataValidation>
    <dataValidation type="list" allowBlank="1" showInputMessage="1" showErrorMessage="1" prompt="Select sector" sqref="F45 G60:G61 N40 J40 I93 N45 J45 D57:D58 K60:K61 H57:H58 F40 L57:L58 O60:O61 P57:P58 S60:S61 E93 R45 F85 J85 N85 R85 R40 M93 Q93" xr:uid="{00000000-0002-0000-0600-00002C000000}">
      <formula1>$J$112:$J$120</formula1>
    </dataValidation>
    <dataValidation type="list" allowBlank="1" showInputMessage="1" showErrorMessage="1" sqref="Q92 S92 K84 M59 O59 S84 G92 F84 O92 E92 S59 Q59 M92 K92 G59 I59 K59 O84 I92" xr:uid="{00000000-0002-0000-0600-00002D000000}">
      <formula1>group</formula1>
    </dataValidation>
    <dataValidation type="list" allowBlank="1" showInputMessage="1" showErrorMessage="1" sqref="B52" xr:uid="{00000000-0002-0000-0600-00002E000000}">
      <formula1>selectyn</formula1>
    </dataValidation>
    <dataValidation type="list" allowBlank="1" showInputMessage="1" showErrorMessage="1" error="Select from the drop-down list" prompt="Select type of hazards information generated from the drop-down list_x000a_" sqref="J27:J28 N27:N28 R27:R28 F27:F28" xr:uid="{00000000-0002-0000-0600-00002F000000}">
      <formula1>$D$101:$D$108</formula1>
    </dataValidation>
    <dataValidation type="whole" allowBlank="1" showInputMessage="1" showErrorMessage="1" errorTitle="Please enter a number here" error="Please enter a number here" promptTitle="Please enter a number here" sqref="P30 L30 H30 D30" xr:uid="{00000000-0002-0000-0600-000030000000}">
      <formula1>0</formula1>
      <formula2>99999</formula2>
    </dataValidation>
    <dataValidation type="list" allowBlank="1" showInputMessage="1" showErrorMessage="1" errorTitle="Select from the list" error="Select from the list" prompt="Select hazard addressed by the Early Warning System" sqref="S34 O34 O31 K31 K34 G34 G31 S31" xr:uid="{00000000-0002-0000-0600-000031000000}">
      <formula1>$D$101:$D$108</formula1>
    </dataValidation>
    <dataValidation type="list" allowBlank="1" showInputMessage="1" showErrorMessage="1" prompt="Select type" sqref="J43:K43 N43:O43 R43:S43 D45 H45 L45 P45 F43:G43" xr:uid="{00000000-0002-0000-0600-000032000000}">
      <formula1>$D$113:$D$115</formula1>
    </dataValidation>
    <dataValidation type="list" allowBlank="1" showInputMessage="1" showErrorMessage="1" prompt="Select level of improvements" sqref="H65 L65 P65 D65:E65" xr:uid="{00000000-0002-0000-0600-000033000000}">
      <formula1>$K$121:$K$125</formula1>
    </dataValidation>
    <dataValidation type="list" allowBlank="1" showInputMessage="1" showErrorMessage="1" prompt="Select type" sqref="K65 S65 O65 G65" xr:uid="{00000000-0002-0000-0600-000034000000}">
      <formula1>$F$102:$F$106</formula1>
    </dataValidation>
    <dataValidation type="list" allowBlank="1" showInputMessage="1" showErrorMessage="1" error="Please select a level of effectiveness from the drop-down list" prompt="Select the level of effectiveness of protection/rehabilitation" sqref="G70:G71 G73:G74 G76:G77 K76:K77 K73:K74 K70:K71 K67:K68 G67:G68 S67:S68 O73:O74 O76:O77 R76:R77 R73:R74 O70:O71 O67:O68 S70:S71" xr:uid="{00000000-0002-0000-0600-000035000000}">
      <formula1>$K$121:$K$125</formula1>
    </dataValidation>
    <dataValidation type="list" allowBlank="1" showInputMessage="1" showErrorMessage="1" error="Please select improvement level from the drop-down list" prompt="Select improvement level" sqref="J81:K81 N81:O81 R81:S81 F81:G81" xr:uid="{00000000-0002-0000-0600-000036000000}">
      <formula1>$H$116:$H$120</formula1>
    </dataValidation>
    <dataValidation type="list" allowBlank="1" showInputMessage="1" showErrorMessage="1" prompt="Select adaptation strategy" sqref="K85 O85 S85 G85" xr:uid="{00000000-0002-0000-0600-000037000000}">
      <formula1>$I$127:$I$143</formula1>
    </dataValidation>
    <dataValidation type="list" allowBlank="1" showInputMessage="1" showErrorMessage="1" prompt="Select integration level" sqref="D91:S91" xr:uid="{00000000-0002-0000-0600-000038000000}">
      <formula1>$H$109:$H$113</formula1>
    </dataValidation>
    <dataValidation type="list" allowBlank="1" showInputMessage="1" showErrorMessage="1" prompt="Select state of enforcement" sqref="I95:J95 M95:N95 E95:F95 Q95:R95" xr:uid="{00000000-0002-0000-0600-000039000000}">
      <formula1>$I$102:$I$106</formula1>
    </dataValidation>
    <dataValidation type="list" allowBlank="1" showInputMessage="1" showErrorMessage="1" error="Please select the from the drop-down list_x000a_" prompt="Please select from the drop-down list" sqref="C17" xr:uid="{00000000-0002-0000-0600-00003A000000}">
      <formula1>$J$113:$J$120</formula1>
    </dataValidation>
    <dataValidation type="list" allowBlank="1" showInputMessage="1" showErrorMessage="1" error="Please select from the drop-down list" prompt="Please select from the drop-down list" sqref="C14" xr:uid="{00000000-0002-0000-0600-00003B000000}">
      <formula1>$C$122:$C$124</formula1>
    </dataValidation>
    <dataValidation type="list" allowBlank="1" showInputMessage="1" showErrorMessage="1" error="Select from the drop-down list" prompt="Select from the drop-down list" sqref="C16" xr:uid="{00000000-0002-0000-0600-00003C000000}">
      <formula1>$B$122:$B$125</formula1>
    </dataValidation>
    <dataValidation type="list" allowBlank="1" showInputMessage="1" showErrorMessage="1" error="Select from the drop-down list" prompt="Select from the drop-down list" sqref="C15" xr:uid="{00000000-0002-0000-0600-00003D000000}">
      <formula1>$B$128:$B$286</formula1>
    </dataValidation>
    <dataValidation allowBlank="1" showInputMessage="1" showErrorMessage="1" prompt="Please enter your project ID" sqref="C12" xr:uid="{00000000-0002-0000-0600-00003E000000}"/>
    <dataValidation allowBlank="1" showInputMessage="1" showErrorMessage="1" prompt="Enter the name of the Implementing Entity_x000a_" sqref="C13" xr:uid="{00000000-0002-0000-0600-00003F000000}"/>
    <dataValidation type="list" allowBlank="1" showInputMessage="1" showErrorMessage="1" error="Select from the drop-down list._x000a_" prompt="Select overall effectiveness" sqref="S27:S28 O27:O28 K27:K28 G27:G28" xr:uid="{00000000-0002-0000-0600-000040000000}">
      <formula1>$K$121:$K$125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B4"/>
  <sheetViews>
    <sheetView workbookViewId="0">
      <selection activeCell="B2" sqref="B2"/>
    </sheetView>
  </sheetViews>
  <sheetFormatPr defaultColWidth="9.1796875" defaultRowHeight="14" x14ac:dyDescent="0.3"/>
  <cols>
    <col min="1" max="1" width="2.453125" style="13" customWidth="1"/>
    <col min="2" max="2" width="109.26953125" style="13" customWidth="1"/>
    <col min="3" max="3" width="2.453125" style="13" customWidth="1"/>
    <col min="4" max="16384" width="9.1796875" style="13"/>
  </cols>
  <sheetData>
    <row r="1" spans="2:2" ht="14.5" thickBot="1" x14ac:dyDescent="0.35">
      <c r="B1" s="240" t="s">
        <v>924</v>
      </c>
    </row>
    <row r="2" spans="2:2" ht="308.5" thickBot="1" x14ac:dyDescent="0.35">
      <c r="B2" s="685" t="s">
        <v>925</v>
      </c>
    </row>
    <row r="3" spans="2:2" ht="14.5" thickBot="1" x14ac:dyDescent="0.35">
      <c r="B3" s="240" t="s">
        <v>926</v>
      </c>
    </row>
    <row r="4" spans="2:2" ht="266.5" thickBot="1" x14ac:dyDescent="0.35">
      <c r="B4" s="196" t="s">
        <v>927</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K53"/>
  <sheetViews>
    <sheetView workbookViewId="0">
      <selection activeCell="B1" sqref="B1"/>
    </sheetView>
  </sheetViews>
  <sheetFormatPr defaultColWidth="9.1796875" defaultRowHeight="14" x14ac:dyDescent="0.3"/>
  <cols>
    <col min="1" max="1" width="1.26953125" style="13" customWidth="1"/>
    <col min="2" max="2" width="2.453125" style="13" customWidth="1"/>
    <col min="3" max="3" width="47.453125" style="13" customWidth="1"/>
    <col min="4" max="4" width="21.26953125" style="13" customWidth="1"/>
    <col min="5" max="5" width="1.7265625" style="13" customWidth="1"/>
    <col min="6" max="6" width="1.26953125" style="13" customWidth="1"/>
    <col min="7" max="16384" width="9.1796875" style="13"/>
  </cols>
  <sheetData>
    <row r="1" spans="2:5" ht="14.5" thickBot="1" x14ac:dyDescent="0.35"/>
    <row r="2" spans="2:5" ht="14.5" thickBot="1" x14ac:dyDescent="0.35">
      <c r="B2" s="197"/>
      <c r="C2" s="198"/>
      <c r="D2" s="198"/>
      <c r="E2" s="199"/>
    </row>
    <row r="3" spans="2:5" ht="14.5" thickBot="1" x14ac:dyDescent="0.35">
      <c r="B3" s="200"/>
      <c r="C3" s="1179" t="s">
        <v>928</v>
      </c>
      <c r="D3" s="1179"/>
      <c r="E3" s="241"/>
    </row>
    <row r="4" spans="2:5" x14ac:dyDescent="0.3">
      <c r="B4" s="1180"/>
      <c r="C4" s="1180"/>
      <c r="D4" s="1180"/>
      <c r="E4" s="241"/>
    </row>
    <row r="5" spans="2:5" x14ac:dyDescent="0.3">
      <c r="B5" s="242"/>
      <c r="C5" s="1181"/>
      <c r="D5" s="1181"/>
      <c r="E5" s="241"/>
    </row>
    <row r="6" spans="2:5" x14ac:dyDescent="0.3">
      <c r="B6" s="242"/>
      <c r="C6" s="243"/>
      <c r="D6" s="244"/>
      <c r="E6" s="241"/>
    </row>
    <row r="7" spans="2:5" ht="35.25" customHeight="1" x14ac:dyDescent="0.3">
      <c r="B7" s="242"/>
      <c r="C7" s="1182" t="s">
        <v>73</v>
      </c>
      <c r="D7" s="1182"/>
      <c r="E7" s="241"/>
    </row>
    <row r="8" spans="2:5" ht="14.5" thickBot="1" x14ac:dyDescent="0.35">
      <c r="B8" s="242"/>
      <c r="C8" s="1183"/>
      <c r="D8" s="1183"/>
      <c r="E8" s="241"/>
    </row>
    <row r="9" spans="2:5" ht="14.5" thickBot="1" x14ac:dyDescent="0.35">
      <c r="B9" s="242"/>
      <c r="C9" s="245" t="s">
        <v>929</v>
      </c>
      <c r="D9" s="246" t="s">
        <v>930</v>
      </c>
      <c r="E9" s="241"/>
    </row>
    <row r="10" spans="2:5" x14ac:dyDescent="0.3">
      <c r="B10" s="242"/>
      <c r="C10" s="686" t="s">
        <v>931</v>
      </c>
      <c r="D10" s="687" t="s">
        <v>932</v>
      </c>
      <c r="E10" s="241"/>
    </row>
    <row r="11" spans="2:5" x14ac:dyDescent="0.3">
      <c r="B11" s="242"/>
      <c r="C11" s="686" t="s">
        <v>933</v>
      </c>
      <c r="D11" s="687" t="s">
        <v>934</v>
      </c>
      <c r="E11" s="241"/>
    </row>
    <row r="12" spans="2:5" x14ac:dyDescent="0.3">
      <c r="B12" s="242"/>
      <c r="C12" s="686" t="s">
        <v>935</v>
      </c>
      <c r="D12" s="687" t="s">
        <v>936</v>
      </c>
      <c r="E12" s="241"/>
    </row>
    <row r="13" spans="2:5" x14ac:dyDescent="0.3">
      <c r="B13" s="242"/>
      <c r="C13" s="686" t="s">
        <v>937</v>
      </c>
      <c r="D13" s="687" t="s">
        <v>938</v>
      </c>
      <c r="E13" s="241"/>
    </row>
    <row r="14" spans="2:5" x14ac:dyDescent="0.3">
      <c r="B14" s="242"/>
      <c r="C14" s="686" t="s">
        <v>939</v>
      </c>
      <c r="D14" s="687" t="s">
        <v>938</v>
      </c>
      <c r="E14" s="241"/>
    </row>
    <row r="15" spans="2:5" x14ac:dyDescent="0.3">
      <c r="B15" s="242"/>
      <c r="C15" s="688" t="s">
        <v>940</v>
      </c>
      <c r="D15" s="259" t="s">
        <v>941</v>
      </c>
      <c r="E15" s="241"/>
    </row>
    <row r="16" spans="2:5" ht="28" x14ac:dyDescent="0.3">
      <c r="B16" s="242"/>
      <c r="C16" s="688" t="s">
        <v>942</v>
      </c>
      <c r="D16" s="259" t="s">
        <v>943</v>
      </c>
      <c r="E16" s="241"/>
    </row>
    <row r="17" spans="2:5" ht="28" x14ac:dyDescent="0.3">
      <c r="B17" s="242"/>
      <c r="C17" s="688" t="s">
        <v>944</v>
      </c>
      <c r="D17" s="260" t="s">
        <v>945</v>
      </c>
      <c r="E17" s="241"/>
    </row>
    <row r="18" spans="2:5" ht="56" x14ac:dyDescent="0.3">
      <c r="B18" s="242"/>
      <c r="C18" s="688" t="s">
        <v>946</v>
      </c>
      <c r="D18" s="261" t="s">
        <v>947</v>
      </c>
      <c r="E18" s="241"/>
    </row>
    <row r="19" spans="2:5" ht="28" x14ac:dyDescent="0.3">
      <c r="B19" s="242"/>
      <c r="C19" s="688" t="s">
        <v>948</v>
      </c>
      <c r="D19" s="261" t="s">
        <v>949</v>
      </c>
      <c r="E19" s="241"/>
    </row>
    <row r="20" spans="2:5" ht="28" x14ac:dyDescent="0.3">
      <c r="B20" s="242"/>
      <c r="C20" s="688" t="s">
        <v>950</v>
      </c>
      <c r="D20" s="260" t="s">
        <v>951</v>
      </c>
      <c r="E20" s="241"/>
    </row>
    <row r="21" spans="2:5" x14ac:dyDescent="0.3">
      <c r="B21" s="242"/>
      <c r="C21" s="688" t="s">
        <v>952</v>
      </c>
      <c r="D21" s="261" t="s">
        <v>951</v>
      </c>
      <c r="E21" s="241"/>
    </row>
    <row r="22" spans="2:5" x14ac:dyDescent="0.3">
      <c r="B22" s="242"/>
      <c r="C22" s="689" t="s">
        <v>953</v>
      </c>
      <c r="D22" s="690" t="s">
        <v>954</v>
      </c>
      <c r="E22" s="241"/>
    </row>
    <row r="23" spans="2:5" x14ac:dyDescent="0.3">
      <c r="B23" s="242"/>
      <c r="C23" s="689" t="s">
        <v>955</v>
      </c>
      <c r="D23" s="690" t="s">
        <v>954</v>
      </c>
      <c r="E23" s="241"/>
    </row>
    <row r="24" spans="2:5" ht="28" x14ac:dyDescent="0.3">
      <c r="B24" s="242"/>
      <c r="C24" s="688" t="s">
        <v>956</v>
      </c>
      <c r="D24" s="690" t="s">
        <v>954</v>
      </c>
      <c r="E24" s="241"/>
    </row>
    <row r="25" spans="2:5" ht="28" x14ac:dyDescent="0.3">
      <c r="B25" s="242"/>
      <c r="C25" s="688" t="s">
        <v>957</v>
      </c>
      <c r="D25" s="259" t="s">
        <v>958</v>
      </c>
      <c r="E25" s="241"/>
    </row>
    <row r="26" spans="2:5" ht="28" x14ac:dyDescent="0.3">
      <c r="B26" s="242"/>
      <c r="C26" s="691" t="s">
        <v>959</v>
      </c>
      <c r="D26" s="262" t="s">
        <v>960</v>
      </c>
      <c r="E26" s="241"/>
    </row>
    <row r="27" spans="2:5" ht="28" x14ac:dyDescent="0.3">
      <c r="B27" s="242"/>
      <c r="C27" s="691" t="s">
        <v>961</v>
      </c>
      <c r="D27" s="692" t="s">
        <v>962</v>
      </c>
      <c r="E27" s="241"/>
    </row>
    <row r="28" spans="2:5" ht="28" x14ac:dyDescent="0.3">
      <c r="B28" s="242"/>
      <c r="C28" s="691" t="s">
        <v>963</v>
      </c>
      <c r="D28" s="262" t="s">
        <v>964</v>
      </c>
      <c r="E28" s="241"/>
    </row>
    <row r="29" spans="2:5" ht="28" x14ac:dyDescent="0.3">
      <c r="B29" s="242"/>
      <c r="C29" s="691" t="s">
        <v>965</v>
      </c>
      <c r="D29" s="262" t="s">
        <v>964</v>
      </c>
      <c r="E29" s="241"/>
    </row>
    <row r="30" spans="2:5" ht="28" x14ac:dyDescent="0.3">
      <c r="B30" s="242"/>
      <c r="C30" s="691" t="s">
        <v>966</v>
      </c>
      <c r="D30" s="262" t="s">
        <v>967</v>
      </c>
      <c r="E30" s="241"/>
    </row>
    <row r="31" spans="2:5" ht="28" x14ac:dyDescent="0.3">
      <c r="B31" s="242"/>
      <c r="C31" s="691" t="s">
        <v>968</v>
      </c>
      <c r="D31" s="262" t="s">
        <v>967</v>
      </c>
      <c r="E31" s="241"/>
    </row>
    <row r="32" spans="2:5" x14ac:dyDescent="0.3">
      <c r="B32" s="242"/>
      <c r="C32" s="691" t="s">
        <v>969</v>
      </c>
      <c r="D32" s="262" t="s">
        <v>970</v>
      </c>
      <c r="E32" s="241"/>
    </row>
    <row r="33" spans="2:11" ht="28" x14ac:dyDescent="0.3">
      <c r="B33" s="242"/>
      <c r="C33" s="691" t="s">
        <v>971</v>
      </c>
      <c r="D33" s="262" t="s">
        <v>972</v>
      </c>
      <c r="E33" s="241"/>
    </row>
    <row r="34" spans="2:11" ht="28" x14ac:dyDescent="0.3">
      <c r="B34" s="242"/>
      <c r="C34" s="691" t="s">
        <v>973</v>
      </c>
      <c r="D34" s="262" t="s">
        <v>972</v>
      </c>
      <c r="E34" s="241"/>
    </row>
    <row r="35" spans="2:11" x14ac:dyDescent="0.3">
      <c r="B35" s="242"/>
      <c r="C35" s="691" t="s">
        <v>974</v>
      </c>
      <c r="D35" s="262" t="s">
        <v>972</v>
      </c>
      <c r="E35" s="241"/>
    </row>
    <row r="36" spans="2:11" ht="28" x14ac:dyDescent="0.3">
      <c r="B36" s="242"/>
      <c r="C36" s="691" t="s">
        <v>975</v>
      </c>
      <c r="D36" s="262" t="s">
        <v>976</v>
      </c>
      <c r="E36" s="241"/>
    </row>
    <row r="37" spans="2:11" ht="28" x14ac:dyDescent="0.3">
      <c r="B37" s="242"/>
      <c r="C37" s="691" t="s">
        <v>977</v>
      </c>
      <c r="D37" s="262" t="s">
        <v>978</v>
      </c>
      <c r="E37" s="241"/>
    </row>
    <row r="38" spans="2:11" ht="28" x14ac:dyDescent="0.3">
      <c r="B38" s="242"/>
      <c r="C38" s="691" t="s">
        <v>979</v>
      </c>
      <c r="D38" s="262" t="s">
        <v>978</v>
      </c>
      <c r="E38" s="241"/>
    </row>
    <row r="39" spans="2:11" ht="28" x14ac:dyDescent="0.3">
      <c r="B39" s="242"/>
      <c r="C39" s="691" t="s">
        <v>980</v>
      </c>
      <c r="D39" s="262" t="s">
        <v>981</v>
      </c>
      <c r="E39" s="241"/>
    </row>
    <row r="40" spans="2:11" ht="28" x14ac:dyDescent="0.3">
      <c r="B40" s="242"/>
      <c r="C40" s="691" t="s">
        <v>982</v>
      </c>
      <c r="D40" s="262" t="s">
        <v>983</v>
      </c>
      <c r="E40" s="241"/>
    </row>
    <row r="41" spans="2:11" x14ac:dyDescent="0.3">
      <c r="B41" s="242"/>
      <c r="C41" s="691" t="s">
        <v>984</v>
      </c>
      <c r="D41" s="262" t="s">
        <v>985</v>
      </c>
      <c r="E41" s="241"/>
    </row>
    <row r="42" spans="2:11" ht="28" x14ac:dyDescent="0.3">
      <c r="B42" s="242"/>
      <c r="C42" s="691" t="s">
        <v>986</v>
      </c>
      <c r="D42" s="262" t="s">
        <v>987</v>
      </c>
      <c r="E42" s="241"/>
    </row>
    <row r="43" spans="2:11" x14ac:dyDescent="0.3">
      <c r="B43" s="242"/>
      <c r="C43" s="691" t="s">
        <v>988</v>
      </c>
      <c r="D43" s="262" t="s">
        <v>989</v>
      </c>
      <c r="E43" s="241"/>
    </row>
    <row r="44" spans="2:11" ht="28" x14ac:dyDescent="0.3">
      <c r="B44" s="242"/>
      <c r="C44" s="691" t="s">
        <v>990</v>
      </c>
      <c r="D44" s="262" t="s">
        <v>989</v>
      </c>
      <c r="E44" s="241"/>
    </row>
    <row r="45" spans="2:11" ht="42" x14ac:dyDescent="0.3">
      <c r="B45" s="242"/>
      <c r="C45" s="691" t="s">
        <v>991</v>
      </c>
      <c r="D45" s="262" t="s">
        <v>989</v>
      </c>
      <c r="E45" s="241"/>
    </row>
    <row r="46" spans="2:11" ht="28" x14ac:dyDescent="0.3">
      <c r="B46" s="242"/>
      <c r="C46" s="691" t="s">
        <v>992</v>
      </c>
      <c r="D46" s="262" t="s">
        <v>321</v>
      </c>
      <c r="E46" s="241"/>
    </row>
    <row r="47" spans="2:11" ht="56" x14ac:dyDescent="0.3">
      <c r="B47" s="242"/>
      <c r="C47" s="691" t="s">
        <v>993</v>
      </c>
      <c r="D47" s="262" t="s">
        <v>321</v>
      </c>
      <c r="E47" s="241"/>
    </row>
    <row r="48" spans="2:11" ht="28" x14ac:dyDescent="0.3">
      <c r="B48" s="242"/>
      <c r="C48" s="691" t="s">
        <v>994</v>
      </c>
      <c r="D48" s="262" t="s">
        <v>321</v>
      </c>
      <c r="E48" s="241"/>
      <c r="I48" s="263"/>
      <c r="J48" s="264"/>
      <c r="K48" s="265"/>
    </row>
    <row r="49" spans="2:5" ht="28" x14ac:dyDescent="0.3">
      <c r="B49" s="242"/>
      <c r="C49" s="691" t="s">
        <v>995</v>
      </c>
      <c r="D49" s="262" t="s">
        <v>321</v>
      </c>
      <c r="E49" s="241"/>
    </row>
    <row r="50" spans="2:5" x14ac:dyDescent="0.3">
      <c r="B50" s="242"/>
      <c r="C50" s="691" t="s">
        <v>996</v>
      </c>
      <c r="D50" s="262" t="s">
        <v>997</v>
      </c>
      <c r="E50" s="241"/>
    </row>
    <row r="51" spans="2:5" ht="28.5" thickBot="1" x14ac:dyDescent="0.35">
      <c r="B51" s="242"/>
      <c r="C51" s="693" t="s">
        <v>998</v>
      </c>
      <c r="D51" s="694" t="s">
        <v>997</v>
      </c>
      <c r="E51" s="241"/>
    </row>
    <row r="52" spans="2:5" x14ac:dyDescent="0.3">
      <c r="B52" s="242"/>
      <c r="C52" s="244"/>
      <c r="D52" s="244"/>
      <c r="E52" s="241"/>
    </row>
    <row r="53" spans="2:5" ht="14.5" thickBot="1" x14ac:dyDescent="0.35">
      <c r="B53" s="201"/>
      <c r="C53" s="202"/>
      <c r="D53" s="202"/>
      <c r="E53" s="203"/>
    </row>
  </sheetData>
  <mergeCells count="5">
    <mergeCell ref="C3:D3"/>
    <mergeCell ref="B4:D4"/>
    <mergeCell ref="C5:D5"/>
    <mergeCell ref="C7:D7"/>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60</ProjectId>
    <ReportingPeriod xmlns="dc9b7735-1e97-4a24-b7a2-47bf824ab39e" xsi:nil="true"/>
    <WBDocsDocURL xmlns="dc9b7735-1e97-4a24-b7a2-47bf824ab39e">http://wbdocsservices.worldbank.org/services?I4_SERVICE=VC&amp;I4_KEY=TF069013&amp;I4_DOCID=090224b086171c13</WBDocsDocURL>
    <WBDocsDocURLPublicOnly xmlns="dc9b7735-1e97-4a24-b7a2-47bf824ab39e">http://pubdocs.worldbank.org/en/434061538084706040/60-WEB-PPR-Ecuador-December-2016-2017.xlsx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DE09ACF-C1C7-4AC8-A0A0-E950F62AB8E2}"/>
</file>

<file path=customXml/itemProps2.xml><?xml version="1.0" encoding="utf-8"?>
<ds:datastoreItem xmlns:ds="http://schemas.openxmlformats.org/officeDocument/2006/customXml" ds:itemID="{B8BAE4E6-673B-4BEF-A405-8E8612223769}"/>
</file>

<file path=customXml/itemProps3.xml><?xml version="1.0" encoding="utf-8"?>
<ds:datastoreItem xmlns:ds="http://schemas.openxmlformats.org/officeDocument/2006/customXml" ds:itemID="{D051603A-11F0-492E-B031-1729A21A8A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Overview</vt:lpstr>
      <vt:lpstr>FinancialData</vt:lpstr>
      <vt:lpstr>Procurement</vt:lpstr>
      <vt:lpstr>Risk Assesment</vt:lpstr>
      <vt:lpstr>Rating</vt:lpstr>
      <vt:lpstr>Project Indicators</vt:lpstr>
      <vt:lpstr>Results Tracker</vt:lpstr>
      <vt:lpstr>Units for Indicators</vt:lpstr>
      <vt:lpstr>Annex 1 Products</vt:lpstr>
      <vt:lpstr>Annex 2 Measures</vt:lpstr>
      <vt:lpstr>Annex 3 Media</vt:lpstr>
      <vt:lpstr>Annex 4 Lessons learned</vt:lpstr>
      <vt:lpstr>Annex 5 Explanatory Notes </vt:lpstr>
      <vt:lpstr>Rating!Print_Area</vt:lpstr>
      <vt:lpstr>'Risk Assesment'!Print_Area</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Martina Dorigo</cp:lastModifiedBy>
  <cp:revision/>
  <cp:lastPrinted>2016-12-30T20:13:14Z</cp:lastPrinted>
  <dcterms:created xsi:type="dcterms:W3CDTF">2010-11-30T14:15:01Z</dcterms:created>
  <dcterms:modified xsi:type="dcterms:W3CDTF">2018-09-21T23:26:52Z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17980,8;8602daae-4394-45c7-b912-0c99bcc17980,12;8602daae-4394-45c7-b912-0c99bcc17980,14;8602daae-4394-45c7-b912-0c99bcc17980,16;8602daae-4394-45c7-b912-0c99bcc17980,18;8602daae-4394-45c7-b912-0c99bcc17980,20;8602daae-4394-45c7-b912-0c99bcc17980,22;8602daae-4394-45c7-b912-0c99bcc17980,24;</vt:lpwstr>
  </property>
</Properties>
</file>