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diagrams/data1.xml" ContentType="application/vnd.openxmlformats-officedocument.drawingml.diagramData+xml"/>
  <Override PartName="/xl/workbook.xml" ContentType="application/vnd.openxmlformats-officedocument.spreadsheetml.sheet.main+xml"/>
  <Override PartName="/xl/worksheets/sheet5.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iagrams/drawing1.xml" ContentType="application/vnd.ms-office.drawingml.diagramDrawing+xml"/>
  <Override PartName="/xl/diagrams/colors1.xml" ContentType="application/vnd.openxmlformats-officedocument.drawingml.diagramColors+xml"/>
  <Override PartName="/xl/diagrams/quickStyle1.xml" ContentType="application/vnd.openxmlformats-officedocument.drawingml.diagramStyle+xml"/>
  <Override PartName="/xl/drawings/drawing3.xml" ContentType="application/vnd.openxmlformats-officedocument.drawing+xml"/>
  <Override PartName="/xl/drawings/drawing4.xml" ContentType="application/vnd.openxmlformats-officedocument.drawing+xml"/>
  <Override PartName="/xl/worksheets/sheet4.xml" ContentType="application/vnd.openxmlformats-officedocument.spreadsheetml.worksheet+xml"/>
  <Override PartName="/xl/diagrams/layout1.xml" ContentType="application/vnd.openxmlformats-officedocument.drawingml.diagramLayout+xml"/>
  <Override PartName="/xl/worksheets/sheet1.xml" ContentType="application/vnd.openxmlformats-officedocument.spreadsheetml.worksheet+xml"/>
  <Override PartName="/xl/worksheets/sheet17.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drawings/drawing1.xml" ContentType="application/vnd.openxmlformats-officedocument.drawing+xml"/>
  <Override PartName="/xl/worksheets/sheet16.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1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worksheets/sheet19.xml" ContentType="application/vnd.openxmlformats-officedocument.spreadsheetml.worksheet+xml"/>
  <Override PartName="/xl/drawings/drawing2.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6.xml" ContentType="application/vnd.openxmlformats-officedocument.spreadsheetml.externalLink+xml"/>
  <Override PartName="/xl/externalLinks/externalLink4.xml" ContentType="application/vnd.openxmlformats-officedocument.spreadsheetml.externalLink+xml"/>
  <Override PartName="/xl/comments2.xml" ContentType="application/vnd.openxmlformats-officedocument.spreadsheetml.comments+xml"/>
  <Override PartName="/xl/externalLinks/externalLink5.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omments1.xml" ContentType="application/vnd.openxmlformats-officedocument.spreadsheetml.comments+xml"/>
  <Override PartName="/xl/externalLinks/externalLink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431"/>
  <workbookPr codeName="ThisWorkbook" defaultThemeVersion="124226"/>
  <mc:AlternateContent xmlns:mc="http://schemas.openxmlformats.org/markup-compatibility/2006">
    <mc:Choice Requires="x15">
      <x15ac:absPath xmlns:x15ac="http://schemas.microsoft.com/office/spreadsheetml/2010/11/ac" url="P:\Adaptation Fund\Projects and Programs\Project reports\Ecuador\PPR 2017\"/>
    </mc:Choice>
  </mc:AlternateContent>
  <bookViews>
    <workbookView xWindow="0" yWindow="0" windowWidth="19200" windowHeight="6360" tabRatio="955" activeTab="3"/>
  </bookViews>
  <sheets>
    <sheet name="Overview" sheetId="28" r:id="rId1"/>
    <sheet name="FinancialData" sheetId="35" r:id="rId2"/>
    <sheet name="Procurement" sheetId="36" state="hidden" r:id="rId3"/>
    <sheet name="Risk Assesment" sheetId="40" r:id="rId4"/>
    <sheet name="Rating" sheetId="5" r:id="rId5"/>
    <sheet name="Project Indicators" sheetId="8" r:id="rId6"/>
    <sheet name="Results Tracker" sheetId="11" r:id="rId7"/>
    <sheet name="Units for Indicators" sheetId="6" r:id="rId8"/>
    <sheet name="Annex 1 Products" sheetId="12" r:id="rId9"/>
    <sheet name="Annex 2 Measures" sheetId="45" r:id="rId10"/>
    <sheet name="Annex 3 Lessons learned" sheetId="51" r:id="rId11"/>
    <sheet name="Annex 4 Media" sheetId="46" r:id="rId12"/>
    <sheet name="Annex 5 Institutional Media" sheetId="47" r:id="rId13"/>
    <sheet name="Annex 6 Explanatory Notes " sheetId="48" r:id="rId14"/>
    <sheet name="Annex 7 Incentive_Jubones" sheetId="49" r:id="rId15"/>
    <sheet name="Annex 8 Incentive Pichincha" sheetId="50" r:id="rId16"/>
    <sheet name="Annex 9 Gender" sheetId="39" r:id="rId17"/>
    <sheet name="Annex 10 Monitoring Processes" sheetId="41" r:id="rId18"/>
    <sheet name="Annex 11 Tipology of Adaptation" sheetId="42" r:id="rId19"/>
  </sheets>
  <externalReferences>
    <externalReference r:id="rId20"/>
    <externalReference r:id="rId21"/>
    <externalReference r:id="rId22"/>
    <externalReference r:id="rId23"/>
    <externalReference r:id="rId24"/>
    <externalReference r:id="rId25"/>
  </externalReferences>
  <definedNames>
    <definedName name="_xlnm._FilterDatabase" localSheetId="14" hidden="1">'Annex 7 Incentive_Jubones'!$A$7:$BA$50</definedName>
    <definedName name="_ftn1" localSheetId="16">'Annex 9 Gender'!$A$110</definedName>
    <definedName name="_ftn2" localSheetId="16">'Annex 9 Gender'!$A$111</definedName>
    <definedName name="_ftnref1" localSheetId="16">'Annex 9 Gender'!$A$24</definedName>
    <definedName name="_ftnref2" localSheetId="16">'Annex 9 Gender'!$A$28</definedName>
    <definedName name="iincome" localSheetId="9">#REF!</definedName>
    <definedName name="iincome" localSheetId="10">#REF!</definedName>
    <definedName name="iincome" localSheetId="11">#REF!</definedName>
    <definedName name="iincome" localSheetId="12">#REF!</definedName>
    <definedName name="iincome" localSheetId="13">#REF!</definedName>
    <definedName name="iincome" localSheetId="14">#REF!</definedName>
    <definedName name="iincome" localSheetId="15">#REF!</definedName>
    <definedName name="iincome" localSheetId="1">#REF!</definedName>
    <definedName name="iincome" localSheetId="2">#REF!</definedName>
    <definedName name="iincome">#REF!</definedName>
    <definedName name="income" localSheetId="9">#REF!</definedName>
    <definedName name="income" localSheetId="10">#REF!</definedName>
    <definedName name="income" localSheetId="11">#REF!</definedName>
    <definedName name="income" localSheetId="12">#REF!</definedName>
    <definedName name="income" localSheetId="13">#REF!</definedName>
    <definedName name="income" localSheetId="14">#REF!</definedName>
    <definedName name="income" localSheetId="15">#REF!</definedName>
    <definedName name="income" localSheetId="1">#REF!</definedName>
    <definedName name="income" localSheetId="2">#REF!</definedName>
    <definedName name="income" localSheetId="6">#REF!</definedName>
    <definedName name="income">#REF!</definedName>
    <definedName name="incomelevel" localSheetId="9">#REF!</definedName>
    <definedName name="incomelevel" localSheetId="10">#REF!</definedName>
    <definedName name="incomelevel" localSheetId="11">#REF!</definedName>
    <definedName name="incomelevel" localSheetId="12">#REF!</definedName>
    <definedName name="incomelevel" localSheetId="13">#REF!</definedName>
    <definedName name="incomelevel" localSheetId="14">#REF!</definedName>
    <definedName name="incomelevel" localSheetId="15">#REF!</definedName>
    <definedName name="incomelevel" localSheetId="1">#REF!</definedName>
    <definedName name="incomelevel" localSheetId="2">#REF!</definedName>
    <definedName name="incomelevel">#REF!</definedName>
    <definedName name="incomes">#REF!</definedName>
    <definedName name="info" localSheetId="9">#REF!</definedName>
    <definedName name="info" localSheetId="10">#REF!</definedName>
    <definedName name="info" localSheetId="11">#REF!</definedName>
    <definedName name="info" localSheetId="12">#REF!</definedName>
    <definedName name="info" localSheetId="13">#REF!</definedName>
    <definedName name="info" localSheetId="14">#REF!</definedName>
    <definedName name="info" localSheetId="15">#REF!</definedName>
    <definedName name="info" localSheetId="1">#REF!</definedName>
    <definedName name="info" localSheetId="2">#REF!</definedName>
    <definedName name="info">#REF!</definedName>
    <definedName name="Measures">#REF!</definedName>
    <definedName name="Media">#REF!</definedName>
    <definedName name="Mediarep">#REF!</definedName>
    <definedName name="Month">[1]Dropdowns!$G$2:$G$13</definedName>
    <definedName name="overalleffect" localSheetId="9">#REF!</definedName>
    <definedName name="overalleffect" localSheetId="10">#REF!</definedName>
    <definedName name="overalleffect" localSheetId="11">#REF!</definedName>
    <definedName name="overalleffect" localSheetId="12">#REF!</definedName>
    <definedName name="overalleffect" localSheetId="13">#REF!</definedName>
    <definedName name="overalleffect" localSheetId="14">#REF!</definedName>
    <definedName name="overalleffect" localSheetId="15">#REF!</definedName>
    <definedName name="overalleffect" localSheetId="1">#REF!</definedName>
    <definedName name="overalleffect" localSheetId="2">#REF!</definedName>
    <definedName name="overalleffect">#REF!</definedName>
    <definedName name="physicalassets" localSheetId="9">#REF!</definedName>
    <definedName name="physicalassets" localSheetId="10">#REF!</definedName>
    <definedName name="physicalassets" localSheetId="11">#REF!</definedName>
    <definedName name="physicalassets" localSheetId="12">#REF!</definedName>
    <definedName name="physicalassets" localSheetId="13">#REF!</definedName>
    <definedName name="physicalassets" localSheetId="14">#REF!</definedName>
    <definedName name="physicalassets" localSheetId="15">#REF!</definedName>
    <definedName name="physicalassets" localSheetId="1">#REF!</definedName>
    <definedName name="physicalassets" localSheetId="2">#REF!</definedName>
    <definedName name="physicalassets">#REF!</definedName>
    <definedName name="_xlnm.Print_Area" localSheetId="14">'Annex 7 Incentive_Jubones'!$A$2:$BI$50</definedName>
    <definedName name="_xlnm.Print_Area" localSheetId="1">[2]Hoja2!$J$1:$Q$59</definedName>
    <definedName name="_xlnm.Print_Area" localSheetId="2">[3]Hoja1!$A$1:$I$78</definedName>
    <definedName name="_xlnm.Print_Area" localSheetId="4">Rating!$A$1:$K$78</definedName>
    <definedName name="_xlnm.Print_Area" localSheetId="3">'Risk Assesment'!$A$1:$H$38</definedName>
    <definedName name="_xlnm.Print_Titles" localSheetId="14">'Annex 7 Incentive_Jubones'!$7:$7</definedName>
    <definedName name="quality" localSheetId="9">#REF!</definedName>
    <definedName name="quality" localSheetId="10">#REF!</definedName>
    <definedName name="quality" localSheetId="11">#REF!</definedName>
    <definedName name="quality" localSheetId="12">#REF!</definedName>
    <definedName name="quality" localSheetId="13">#REF!</definedName>
    <definedName name="quality" localSheetId="14">#REF!</definedName>
    <definedName name="quality" localSheetId="15">#REF!</definedName>
    <definedName name="quality" localSheetId="1">#REF!</definedName>
    <definedName name="quality" localSheetId="2">#REF!</definedName>
    <definedName name="quality">#REF!</definedName>
    <definedName name="question" localSheetId="9">#REF!</definedName>
    <definedName name="question" localSheetId="10">#REF!</definedName>
    <definedName name="question" localSheetId="11">#REF!</definedName>
    <definedName name="question" localSheetId="12">#REF!</definedName>
    <definedName name="question" localSheetId="13">#REF!</definedName>
    <definedName name="question" localSheetId="14">#REF!</definedName>
    <definedName name="question" localSheetId="15">#REF!</definedName>
    <definedName name="question" localSheetId="1">#REF!</definedName>
    <definedName name="question" localSheetId="2">#REF!</definedName>
    <definedName name="question">#REF!</definedName>
    <definedName name="responses" localSheetId="9">#REF!</definedName>
    <definedName name="responses" localSheetId="10">#REF!</definedName>
    <definedName name="responses" localSheetId="11">#REF!</definedName>
    <definedName name="responses" localSheetId="12">#REF!</definedName>
    <definedName name="responses" localSheetId="13">#REF!</definedName>
    <definedName name="responses" localSheetId="14">#REF!</definedName>
    <definedName name="responses" localSheetId="15">#REF!</definedName>
    <definedName name="responses" localSheetId="1">#REF!</definedName>
    <definedName name="responses" localSheetId="2">#REF!</definedName>
    <definedName name="responses">#REF!</definedName>
    <definedName name="ss">'[4]Results Tracker'!$G$146:$G$149</definedName>
    <definedName name="state" localSheetId="9">#REF!</definedName>
    <definedName name="state" localSheetId="10">#REF!</definedName>
    <definedName name="state" localSheetId="11">#REF!</definedName>
    <definedName name="state" localSheetId="12">#REF!</definedName>
    <definedName name="state" localSheetId="13">#REF!</definedName>
    <definedName name="state" localSheetId="14">#REF!</definedName>
    <definedName name="state" localSheetId="15">#REF!</definedName>
    <definedName name="state" localSheetId="1">#REF!</definedName>
    <definedName name="state" localSheetId="2">#REF!</definedName>
    <definedName name="state">#REF!</definedName>
    <definedName name="type1" localSheetId="9">#REF!</definedName>
    <definedName name="type1" localSheetId="10">#REF!</definedName>
    <definedName name="type1" localSheetId="11">#REF!</definedName>
    <definedName name="type1" localSheetId="12">#REF!</definedName>
    <definedName name="type1" localSheetId="13">#REF!</definedName>
    <definedName name="type1" localSheetId="14">#REF!</definedName>
    <definedName name="type1" localSheetId="15">#REF!</definedName>
    <definedName name="type1" localSheetId="1">'[5]Results Tracker'!$G$146:$G$149</definedName>
    <definedName name="type1" localSheetId="2">#REF!</definedName>
    <definedName name="type1">#REF!</definedName>
    <definedName name="Year">[1]Dropdowns!$H$2:$H$36</definedName>
    <definedName name="yesno" localSheetId="9">#REF!</definedName>
    <definedName name="yesno" localSheetId="10">#REF!</definedName>
    <definedName name="yesno" localSheetId="11">#REF!</definedName>
    <definedName name="yesno" localSheetId="12">#REF!</definedName>
    <definedName name="yesno" localSheetId="13">#REF!</definedName>
    <definedName name="yesno" localSheetId="14">#REF!</definedName>
    <definedName name="yesno" localSheetId="15">#REF!</definedName>
    <definedName name="yesno" localSheetId="1">#REF!</definedName>
    <definedName name="yesno" localSheetId="2">#REF!</definedName>
    <definedName name="yesno">#REF!</definedName>
  </definedNames>
  <calcPr calcId="171027"/>
</workbook>
</file>

<file path=xl/calcChain.xml><?xml version="1.0" encoding="utf-8"?>
<calcChain xmlns="http://schemas.openxmlformats.org/spreadsheetml/2006/main">
  <c r="F16" i="48" l="1"/>
  <c r="F12" i="48"/>
  <c r="H44" i="5" l="1"/>
  <c r="H46" i="5"/>
  <c r="D9" i="35" l="1"/>
  <c r="E27" i="35"/>
  <c r="E32" i="35" s="1"/>
  <c r="E33" i="35" s="1"/>
  <c r="H50" i="5" l="1"/>
  <c r="H43" i="5"/>
  <c r="E51" i="35" l="1"/>
  <c r="H9" i="35"/>
  <c r="G16" i="50" l="1"/>
  <c r="K8" i="49"/>
  <c r="N8" i="49" s="1"/>
  <c r="M8" i="49"/>
  <c r="Q8" i="49"/>
  <c r="U8" i="49"/>
  <c r="Z8" i="49"/>
  <c r="AC8" i="49"/>
  <c r="AF8" i="49"/>
  <c r="AJ8" i="49"/>
  <c r="AM8" i="49"/>
  <c r="AR8" i="49"/>
  <c r="AT8" i="49"/>
  <c r="AU8" i="49" s="1"/>
  <c r="AW8" i="49"/>
  <c r="BE8" i="49"/>
  <c r="BH8" i="49"/>
  <c r="A9" i="49"/>
  <c r="A10" i="49" s="1"/>
  <c r="A11" i="49" s="1"/>
  <c r="A12" i="49" s="1"/>
  <c r="A13" i="49" s="1"/>
  <c r="A14" i="49" s="1"/>
  <c r="A15" i="49" s="1"/>
  <c r="A16" i="49" s="1"/>
  <c r="A17" i="49" s="1"/>
  <c r="A18" i="49" s="1"/>
  <c r="A19" i="49" s="1"/>
  <c r="A20" i="49" s="1"/>
  <c r="A21" i="49" s="1"/>
  <c r="A22" i="49" s="1"/>
  <c r="A23" i="49" s="1"/>
  <c r="K9" i="49"/>
  <c r="M9" i="49"/>
  <c r="Q9" i="49"/>
  <c r="U9" i="49"/>
  <c r="Z9" i="49"/>
  <c r="AC9" i="49"/>
  <c r="AF9" i="49"/>
  <c r="AJ9" i="49"/>
  <c r="AM9" i="49"/>
  <c r="AR9" i="49"/>
  <c r="AT9" i="49"/>
  <c r="AW9" i="49"/>
  <c r="BE9" i="49"/>
  <c r="BH9" i="49"/>
  <c r="K10" i="49"/>
  <c r="M10" i="49"/>
  <c r="Q10" i="49"/>
  <c r="U10" i="49"/>
  <c r="Z10" i="49"/>
  <c r="AC10" i="49"/>
  <c r="AF10" i="49"/>
  <c r="AJ10" i="49"/>
  <c r="AN10" i="49" s="1"/>
  <c r="AM10" i="49"/>
  <c r="AR10" i="49"/>
  <c r="AT10" i="49"/>
  <c r="AW10" i="49"/>
  <c r="BE10" i="49"/>
  <c r="BH10" i="49"/>
  <c r="K11" i="49"/>
  <c r="M11" i="49"/>
  <c r="Q11" i="49"/>
  <c r="U11" i="49"/>
  <c r="Z11" i="49"/>
  <c r="AC11" i="49"/>
  <c r="AF11" i="49"/>
  <c r="AJ11" i="49"/>
  <c r="AM11" i="49"/>
  <c r="AR11" i="49"/>
  <c r="AT11" i="49"/>
  <c r="AW11" i="49"/>
  <c r="BE11" i="49"/>
  <c r="BH11" i="49"/>
  <c r="K12" i="49"/>
  <c r="M12" i="49"/>
  <c r="Q12" i="49"/>
  <c r="U12" i="49"/>
  <c r="Z12" i="49"/>
  <c r="AC12" i="49"/>
  <c r="AF12" i="49"/>
  <c r="AJ12" i="49"/>
  <c r="AN12" i="49" s="1"/>
  <c r="AM12" i="49"/>
  <c r="AR12" i="49"/>
  <c r="AT12" i="49"/>
  <c r="AW12" i="49"/>
  <c r="BE12" i="49"/>
  <c r="BH12" i="49"/>
  <c r="K13" i="49"/>
  <c r="M13" i="49"/>
  <c r="Q13" i="49"/>
  <c r="U13" i="49"/>
  <c r="Z13" i="49"/>
  <c r="AC13" i="49"/>
  <c r="AF13" i="49"/>
  <c r="AJ13" i="49"/>
  <c r="AN13" i="49" s="1"/>
  <c r="AM13" i="49"/>
  <c r="AR13" i="49"/>
  <c r="AT13" i="49"/>
  <c r="AW13" i="49"/>
  <c r="BE13" i="49"/>
  <c r="BH13" i="49"/>
  <c r="K14" i="49"/>
  <c r="M14" i="49"/>
  <c r="Q14" i="49"/>
  <c r="U14" i="49"/>
  <c r="Z14" i="49"/>
  <c r="AC14" i="49"/>
  <c r="AF14" i="49"/>
  <c r="AJ14" i="49"/>
  <c r="AM14" i="49"/>
  <c r="AR14" i="49"/>
  <c r="AT14" i="49"/>
  <c r="AW14" i="49"/>
  <c r="BE14" i="49"/>
  <c r="BH14" i="49"/>
  <c r="K15" i="49"/>
  <c r="M15" i="49"/>
  <c r="Q15" i="49"/>
  <c r="U15" i="49"/>
  <c r="Z15" i="49"/>
  <c r="AC15" i="49"/>
  <c r="AF15" i="49"/>
  <c r="AJ15" i="49"/>
  <c r="AM15" i="49"/>
  <c r="AR15" i="49"/>
  <c r="AT15" i="49"/>
  <c r="AW15" i="49"/>
  <c r="BE15" i="49"/>
  <c r="BH15" i="49"/>
  <c r="K16" i="49"/>
  <c r="M16" i="49"/>
  <c r="Q16" i="49"/>
  <c r="U16" i="49"/>
  <c r="Z16" i="49"/>
  <c r="AC16" i="49"/>
  <c r="AF16" i="49"/>
  <c r="AJ16" i="49"/>
  <c r="AN16" i="49" s="1"/>
  <c r="AM16" i="49"/>
  <c r="AR16" i="49"/>
  <c r="AT16" i="49"/>
  <c r="AW16" i="49"/>
  <c r="BE16" i="49"/>
  <c r="BH16" i="49"/>
  <c r="K17" i="49"/>
  <c r="M17" i="49"/>
  <c r="Q17" i="49"/>
  <c r="U17" i="49"/>
  <c r="Z17" i="49"/>
  <c r="AC17" i="49"/>
  <c r="AF17" i="49"/>
  <c r="AJ17" i="49"/>
  <c r="AM17" i="49"/>
  <c r="AR17" i="49"/>
  <c r="AT17" i="49"/>
  <c r="AW17" i="49"/>
  <c r="BE17" i="49"/>
  <c r="BH17" i="49"/>
  <c r="K18" i="49"/>
  <c r="M18" i="49"/>
  <c r="Q18" i="49"/>
  <c r="U18" i="49"/>
  <c r="Z18" i="49"/>
  <c r="AC18" i="49"/>
  <c r="AF18" i="49"/>
  <c r="AJ18" i="49"/>
  <c r="AM18" i="49"/>
  <c r="AR18" i="49"/>
  <c r="AT18" i="49"/>
  <c r="AW18" i="49"/>
  <c r="BE18" i="49"/>
  <c r="BH18" i="49"/>
  <c r="K19" i="49"/>
  <c r="M19" i="49"/>
  <c r="N19" i="49" s="1"/>
  <c r="Q19" i="49"/>
  <c r="U19" i="49"/>
  <c r="Z19" i="49"/>
  <c r="AC19" i="49"/>
  <c r="AF19" i="49"/>
  <c r="AJ19" i="49"/>
  <c r="AN19" i="49" s="1"/>
  <c r="AM19" i="49"/>
  <c r="AR19" i="49"/>
  <c r="AT19" i="49"/>
  <c r="AW19" i="49"/>
  <c r="BE19" i="49"/>
  <c r="BH19" i="49"/>
  <c r="K20" i="49"/>
  <c r="M20" i="49"/>
  <c r="Q20" i="49"/>
  <c r="U20" i="49"/>
  <c r="Z20" i="49"/>
  <c r="AC20" i="49"/>
  <c r="AF20" i="49"/>
  <c r="AJ20" i="49"/>
  <c r="AM20" i="49"/>
  <c r="AN20" i="49"/>
  <c r="AR20" i="49"/>
  <c r="AT20" i="49"/>
  <c r="AW20" i="49"/>
  <c r="BE20" i="49"/>
  <c r="BH20" i="49"/>
  <c r="K21" i="49"/>
  <c r="M21" i="49"/>
  <c r="Q21" i="49"/>
  <c r="U21" i="49"/>
  <c r="Z21" i="49"/>
  <c r="AC21" i="49"/>
  <c r="AF21" i="49"/>
  <c r="AJ21" i="49"/>
  <c r="AM21" i="49"/>
  <c r="AR21" i="49"/>
  <c r="AT21" i="49"/>
  <c r="AU21" i="49" s="1"/>
  <c r="AW21" i="49"/>
  <c r="BE21" i="49"/>
  <c r="BH21" i="49"/>
  <c r="K22" i="49"/>
  <c r="M22" i="49"/>
  <c r="Q22" i="49"/>
  <c r="U22" i="49"/>
  <c r="Z22" i="49"/>
  <c r="AC22" i="49"/>
  <c r="AF22" i="49"/>
  <c r="AJ22" i="49"/>
  <c r="AM22" i="49"/>
  <c r="AM24" i="49" s="1"/>
  <c r="AR22" i="49"/>
  <c r="AT22" i="49"/>
  <c r="AW22" i="49"/>
  <c r="BE22" i="49"/>
  <c r="BH22" i="49"/>
  <c r="K23" i="49"/>
  <c r="M23" i="49"/>
  <c r="Q23" i="49"/>
  <c r="U23" i="49"/>
  <c r="Z23" i="49"/>
  <c r="AC23" i="49"/>
  <c r="AF23" i="49"/>
  <c r="AJ23" i="49"/>
  <c r="AM23" i="49"/>
  <c r="AR23" i="49"/>
  <c r="AT23" i="49"/>
  <c r="AW23" i="49"/>
  <c r="BE23" i="49"/>
  <c r="BH23" i="49"/>
  <c r="F24" i="49"/>
  <c r="G24" i="49"/>
  <c r="H24" i="49"/>
  <c r="I24" i="49"/>
  <c r="J24" i="49"/>
  <c r="L24" i="49"/>
  <c r="O24" i="49"/>
  <c r="P24" i="49"/>
  <c r="R24" i="49"/>
  <c r="S24" i="49"/>
  <c r="T24" i="49"/>
  <c r="V24" i="49"/>
  <c r="W24" i="49"/>
  <c r="X24" i="49"/>
  <c r="Y24" i="49"/>
  <c r="AA24" i="49"/>
  <c r="AB24" i="49"/>
  <c r="AD24" i="49"/>
  <c r="AE24" i="49"/>
  <c r="AH24" i="49"/>
  <c r="AI24" i="49"/>
  <c r="AK24" i="49"/>
  <c r="AL24" i="49"/>
  <c r="AO24" i="49"/>
  <c r="AP24" i="49"/>
  <c r="AQ24" i="49"/>
  <c r="AS24" i="49"/>
  <c r="AV24" i="49"/>
  <c r="AY24" i="49"/>
  <c r="BC24" i="49"/>
  <c r="BD24" i="49"/>
  <c r="BF24" i="49"/>
  <c r="BG24" i="49"/>
  <c r="K26" i="49"/>
  <c r="M26" i="49"/>
  <c r="Q26" i="49"/>
  <c r="U26" i="49"/>
  <c r="Z26" i="49"/>
  <c r="AC26" i="49"/>
  <c r="AF26" i="49"/>
  <c r="AJ26" i="49"/>
  <c r="AN26" i="49" s="1"/>
  <c r="AM26" i="49"/>
  <c r="AR26" i="49"/>
  <c r="AT26" i="49"/>
  <c r="AW26" i="49"/>
  <c r="BE26" i="49"/>
  <c r="BH26" i="49"/>
  <c r="A27" i="49"/>
  <c r="A28" i="49" s="1"/>
  <c r="A29" i="49" s="1"/>
  <c r="A30" i="49" s="1"/>
  <c r="A31" i="49" s="1"/>
  <c r="A32" i="49" s="1"/>
  <c r="A33" i="49" s="1"/>
  <c r="A34" i="49" s="1"/>
  <c r="A35" i="49" s="1"/>
  <c r="A36" i="49" s="1"/>
  <c r="K27" i="49"/>
  <c r="N27" i="49" s="1"/>
  <c r="M27" i="49"/>
  <c r="Q27" i="49"/>
  <c r="U27" i="49"/>
  <c r="Z27" i="49"/>
  <c r="AC27" i="49"/>
  <c r="AF27" i="49"/>
  <c r="AJ27" i="49"/>
  <c r="AN27" i="49" s="1"/>
  <c r="AM27" i="49"/>
  <c r="AR27" i="49"/>
  <c r="AT27" i="49"/>
  <c r="AW27" i="49"/>
  <c r="BE27" i="49"/>
  <c r="BH27" i="49"/>
  <c r="K28" i="49"/>
  <c r="M28" i="49"/>
  <c r="N28" i="49" s="1"/>
  <c r="Q28" i="49"/>
  <c r="U28" i="49"/>
  <c r="Z28" i="49"/>
  <c r="AC28" i="49"/>
  <c r="AF28" i="49"/>
  <c r="AJ28" i="49"/>
  <c r="AM28" i="49"/>
  <c r="AR28" i="49"/>
  <c r="AT28" i="49"/>
  <c r="AW28" i="49"/>
  <c r="BE28" i="49"/>
  <c r="BH28" i="49"/>
  <c r="K29" i="49"/>
  <c r="M29" i="49"/>
  <c r="Q29" i="49"/>
  <c r="U29" i="49"/>
  <c r="Z29" i="49"/>
  <c r="AC29" i="49"/>
  <c r="AF29" i="49"/>
  <c r="AJ29" i="49"/>
  <c r="AN29" i="49" s="1"/>
  <c r="AM29" i="49"/>
  <c r="AR29" i="49"/>
  <c r="AT29" i="49"/>
  <c r="AW29" i="49"/>
  <c r="BE29" i="49"/>
  <c r="BH29" i="49"/>
  <c r="K30" i="49"/>
  <c r="M30" i="49"/>
  <c r="Q30" i="49"/>
  <c r="U30" i="49"/>
  <c r="Z30" i="49"/>
  <c r="AC30" i="49"/>
  <c r="AF30" i="49"/>
  <c r="AJ30" i="49"/>
  <c r="AM30" i="49"/>
  <c r="AR30" i="49"/>
  <c r="AT30" i="49"/>
  <c r="AW30" i="49"/>
  <c r="BE30" i="49"/>
  <c r="BH30" i="49"/>
  <c r="K31" i="49"/>
  <c r="M31" i="49"/>
  <c r="Q31" i="49"/>
  <c r="U31" i="49"/>
  <c r="Z31" i="49"/>
  <c r="AC31" i="49"/>
  <c r="AF31" i="49"/>
  <c r="AJ31" i="49"/>
  <c r="AN31" i="49" s="1"/>
  <c r="AM31" i="49"/>
  <c r="AR31" i="49"/>
  <c r="AT31" i="49"/>
  <c r="AW31" i="49"/>
  <c r="BE31" i="49"/>
  <c r="BH31" i="49"/>
  <c r="K32" i="49"/>
  <c r="M32" i="49"/>
  <c r="Q32" i="49"/>
  <c r="U32" i="49"/>
  <c r="Z32" i="49"/>
  <c r="AC32" i="49"/>
  <c r="AF32" i="49"/>
  <c r="AJ32" i="49"/>
  <c r="AM32" i="49"/>
  <c r="AR32" i="49"/>
  <c r="AT32" i="49"/>
  <c r="AW32" i="49"/>
  <c r="BE32" i="49"/>
  <c r="BH32" i="49"/>
  <c r="K33" i="49"/>
  <c r="M33" i="49"/>
  <c r="Q33" i="49"/>
  <c r="U33" i="49"/>
  <c r="Z33" i="49"/>
  <c r="AC33" i="49"/>
  <c r="AF33" i="49"/>
  <c r="AJ33" i="49"/>
  <c r="AN33" i="49" s="1"/>
  <c r="AM33" i="49"/>
  <c r="AR33" i="49"/>
  <c r="AT33" i="49"/>
  <c r="AW33" i="49"/>
  <c r="BE33" i="49"/>
  <c r="BH33" i="49"/>
  <c r="K34" i="49"/>
  <c r="M34" i="49"/>
  <c r="Q34" i="49"/>
  <c r="U34" i="49"/>
  <c r="Z34" i="49"/>
  <c r="AC34" i="49"/>
  <c r="AF34" i="49"/>
  <c r="AJ34" i="49"/>
  <c r="AM34" i="49"/>
  <c r="AR34" i="49"/>
  <c r="AT34" i="49"/>
  <c r="AW34" i="49"/>
  <c r="BE34" i="49"/>
  <c r="BH34" i="49"/>
  <c r="K35" i="49"/>
  <c r="M35" i="49"/>
  <c r="Q35" i="49"/>
  <c r="U35" i="49"/>
  <c r="Z35" i="49"/>
  <c r="AC35" i="49"/>
  <c r="AF35" i="49"/>
  <c r="AJ35" i="49"/>
  <c r="AM35" i="49"/>
  <c r="AR35" i="49"/>
  <c r="AT35" i="49"/>
  <c r="AW35" i="49"/>
  <c r="BE35" i="49"/>
  <c r="BH35" i="49"/>
  <c r="K36" i="49"/>
  <c r="M36" i="49"/>
  <c r="Q36" i="49"/>
  <c r="U36" i="49"/>
  <c r="Z36" i="49"/>
  <c r="AC36" i="49"/>
  <c r="AF36" i="49"/>
  <c r="AJ36" i="49"/>
  <c r="AM36" i="49"/>
  <c r="AR36" i="49"/>
  <c r="AT36" i="49"/>
  <c r="AW36" i="49"/>
  <c r="BE36" i="49"/>
  <c r="BH36" i="49"/>
  <c r="F37" i="49"/>
  <c r="G37" i="49"/>
  <c r="H37" i="49"/>
  <c r="I37" i="49"/>
  <c r="I49" i="49" s="1"/>
  <c r="I59" i="49" s="1"/>
  <c r="J37" i="49"/>
  <c r="L37" i="49"/>
  <c r="O37" i="49"/>
  <c r="P37" i="49"/>
  <c r="R37" i="49"/>
  <c r="S37" i="49"/>
  <c r="T37" i="49"/>
  <c r="V37" i="49"/>
  <c r="W37" i="49"/>
  <c r="X37" i="49"/>
  <c r="Y37" i="49"/>
  <c r="AA37" i="49"/>
  <c r="AB37" i="49"/>
  <c r="AD37" i="49"/>
  <c r="AE37" i="49"/>
  <c r="AH37" i="49"/>
  <c r="AI37" i="49"/>
  <c r="AK37" i="49"/>
  <c r="AL37" i="49"/>
  <c r="AM37" i="49"/>
  <c r="AO37" i="49"/>
  <c r="AP37" i="49"/>
  <c r="AQ37" i="49"/>
  <c r="AS37" i="49"/>
  <c r="AV37" i="49"/>
  <c r="AY37" i="49"/>
  <c r="BC37" i="49"/>
  <c r="BD37" i="49"/>
  <c r="BF37" i="49"/>
  <c r="BG37" i="49"/>
  <c r="K39" i="49"/>
  <c r="M39" i="49"/>
  <c r="Q39" i="49"/>
  <c r="U39" i="49"/>
  <c r="Z39" i="49"/>
  <c r="AC39" i="49"/>
  <c r="AF39" i="49"/>
  <c r="AJ39" i="49"/>
  <c r="AM39" i="49"/>
  <c r="AR39" i="49"/>
  <c r="AU39" i="49" s="1"/>
  <c r="AT39" i="49"/>
  <c r="AW39" i="49"/>
  <c r="BE39" i="49"/>
  <c r="BH39" i="49"/>
  <c r="A40" i="49"/>
  <c r="A41" i="49" s="1"/>
  <c r="A42" i="49" s="1"/>
  <c r="A43" i="49" s="1"/>
  <c r="A44" i="49" s="1"/>
  <c r="A45" i="49" s="1"/>
  <c r="K40" i="49"/>
  <c r="M40" i="49"/>
  <c r="Q40" i="49"/>
  <c r="Q46" i="49" s="1"/>
  <c r="U40" i="49"/>
  <c r="Z40" i="49"/>
  <c r="AC40" i="49"/>
  <c r="AF40" i="49"/>
  <c r="AJ40" i="49"/>
  <c r="AM40" i="49"/>
  <c r="AR40" i="49"/>
  <c r="AT40" i="49"/>
  <c r="AW40" i="49"/>
  <c r="BE40" i="49"/>
  <c r="BH40" i="49"/>
  <c r="K41" i="49"/>
  <c r="N41" i="49" s="1"/>
  <c r="M41" i="49"/>
  <c r="Q41" i="49"/>
  <c r="U41" i="49"/>
  <c r="Z41" i="49"/>
  <c r="Z46" i="49" s="1"/>
  <c r="AC41" i="49"/>
  <c r="AF41" i="49"/>
  <c r="AJ41" i="49"/>
  <c r="AM41" i="49"/>
  <c r="AR41" i="49"/>
  <c r="AT41" i="49"/>
  <c r="AW41" i="49"/>
  <c r="BE41" i="49"/>
  <c r="BH41" i="49"/>
  <c r="K42" i="49"/>
  <c r="M42" i="49"/>
  <c r="Q42" i="49"/>
  <c r="U42" i="49"/>
  <c r="Z42" i="49"/>
  <c r="AC42" i="49"/>
  <c r="AF42" i="49"/>
  <c r="AJ42" i="49"/>
  <c r="AN42" i="49" s="1"/>
  <c r="AM42" i="49"/>
  <c r="AR42" i="49"/>
  <c r="AT42" i="49"/>
  <c r="AW42" i="49"/>
  <c r="BE42" i="49"/>
  <c r="BH42" i="49"/>
  <c r="K43" i="49"/>
  <c r="M43" i="49"/>
  <c r="Q43" i="49"/>
  <c r="U43" i="49"/>
  <c r="Z43" i="49"/>
  <c r="AC43" i="49"/>
  <c r="AF43" i="49"/>
  <c r="AJ43" i="49"/>
  <c r="AM43" i="49"/>
  <c r="AR43" i="49"/>
  <c r="AU43" i="49" s="1"/>
  <c r="AT43" i="49"/>
  <c r="AW43" i="49"/>
  <c r="BE43" i="49"/>
  <c r="BH43" i="49"/>
  <c r="K44" i="49"/>
  <c r="M44" i="49"/>
  <c r="Q44" i="49"/>
  <c r="U44" i="49"/>
  <c r="Z44" i="49"/>
  <c r="AC44" i="49"/>
  <c r="AF44" i="49"/>
  <c r="AJ44" i="49"/>
  <c r="AM44" i="49"/>
  <c r="AR44" i="49"/>
  <c r="AT44" i="49"/>
  <c r="AW44" i="49"/>
  <c r="BE44" i="49"/>
  <c r="BH44" i="49"/>
  <c r="K45" i="49"/>
  <c r="N45" i="49" s="1"/>
  <c r="M45" i="49"/>
  <c r="Q45" i="49"/>
  <c r="U45" i="49"/>
  <c r="Z45" i="49"/>
  <c r="AC45" i="49"/>
  <c r="AF45" i="49"/>
  <c r="AJ45" i="49"/>
  <c r="AM45" i="49"/>
  <c r="AR45" i="49"/>
  <c r="AT45" i="49"/>
  <c r="AW45" i="49"/>
  <c r="BE45" i="49"/>
  <c r="BH45" i="49"/>
  <c r="F46" i="49"/>
  <c r="G46" i="49"/>
  <c r="H46" i="49"/>
  <c r="I46" i="49"/>
  <c r="J46" i="49"/>
  <c r="L46" i="49"/>
  <c r="O46" i="49"/>
  <c r="P46" i="49"/>
  <c r="R46" i="49"/>
  <c r="S46" i="49"/>
  <c r="T46" i="49"/>
  <c r="T49" i="49" s="1"/>
  <c r="T59" i="49" s="1"/>
  <c r="V46" i="49"/>
  <c r="W46" i="49"/>
  <c r="X46" i="49"/>
  <c r="X49" i="49" s="1"/>
  <c r="X59" i="49" s="1"/>
  <c r="Y46" i="49"/>
  <c r="Y49" i="49" s="1"/>
  <c r="Y59" i="49" s="1"/>
  <c r="AA46" i="49"/>
  <c r="AB46" i="49"/>
  <c r="AD46" i="49"/>
  <c r="AD49" i="49" s="1"/>
  <c r="AD59" i="49" s="1"/>
  <c r="AE46" i="49"/>
  <c r="AH46" i="49"/>
  <c r="AI46" i="49"/>
  <c r="AK46" i="49"/>
  <c r="AK49" i="49" s="1"/>
  <c r="AK59" i="49" s="1"/>
  <c r="AL46" i="49"/>
  <c r="AO46" i="49"/>
  <c r="AP46" i="49"/>
  <c r="AP49" i="49" s="1"/>
  <c r="AP59" i="49" s="1"/>
  <c r="AQ46" i="49"/>
  <c r="AS46" i="49"/>
  <c r="AV46" i="49"/>
  <c r="AY46" i="49"/>
  <c r="BC46" i="49"/>
  <c r="BD46" i="49"/>
  <c r="BF46" i="49"/>
  <c r="BG46" i="49"/>
  <c r="AV49" i="49"/>
  <c r="AV59" i="49" s="1"/>
  <c r="AX54" i="49"/>
  <c r="AZ57" i="49"/>
  <c r="AZ58" i="49"/>
  <c r="H14" i="48"/>
  <c r="F14" i="48"/>
  <c r="F15" i="48"/>
  <c r="H15" i="48"/>
  <c r="F17" i="48"/>
  <c r="H17" i="48"/>
  <c r="F18" i="48"/>
  <c r="H18" i="48"/>
  <c r="F19" i="48"/>
  <c r="H19" i="48"/>
  <c r="F20" i="48"/>
  <c r="H20" i="48"/>
  <c r="D21" i="48"/>
  <c r="E21" i="48"/>
  <c r="A10" i="46"/>
  <c r="A11" i="46" s="1"/>
  <c r="A12" i="46" s="1"/>
  <c r="A13" i="46" s="1"/>
  <c r="A14" i="46" s="1"/>
  <c r="A15" i="46" s="1"/>
  <c r="A16" i="46" s="1"/>
  <c r="A17" i="46" s="1"/>
  <c r="A18" i="46" s="1"/>
  <c r="A19" i="46" s="1"/>
  <c r="A20" i="46" s="1"/>
  <c r="A21" i="46" s="1"/>
  <c r="A22" i="46" s="1"/>
  <c r="A23" i="46" s="1"/>
  <c r="A24" i="46" s="1"/>
  <c r="A25" i="46" s="1"/>
  <c r="A26" i="46" s="1"/>
  <c r="A27" i="46" s="1"/>
  <c r="A28" i="46" s="1"/>
  <c r="A29" i="46" s="1"/>
  <c r="A30" i="46" s="1"/>
  <c r="A31" i="46" s="1"/>
  <c r="A32" i="46" s="1"/>
  <c r="A33" i="46" s="1"/>
  <c r="A34" i="46" s="1"/>
  <c r="A4" i="46"/>
  <c r="A5" i="46" s="1"/>
  <c r="A6" i="46" s="1"/>
  <c r="A7" i="46" s="1"/>
  <c r="A8" i="46" s="1"/>
  <c r="C8" i="45"/>
  <c r="D8" i="45"/>
  <c r="F8" i="45"/>
  <c r="G8" i="45"/>
  <c r="H8" i="45"/>
  <c r="I8" i="45"/>
  <c r="K8" i="45"/>
  <c r="L8" i="45"/>
  <c r="M8" i="45"/>
  <c r="N8" i="45"/>
  <c r="O8" i="45"/>
  <c r="P8" i="45"/>
  <c r="Q8" i="45"/>
  <c r="R8" i="45"/>
  <c r="S8" i="45"/>
  <c r="T8" i="45"/>
  <c r="B9" i="45"/>
  <c r="C9" i="45"/>
  <c r="D9" i="45"/>
  <c r="F9" i="45"/>
  <c r="G9" i="45"/>
  <c r="H9" i="45"/>
  <c r="I9" i="45"/>
  <c r="J9" i="45"/>
  <c r="K9" i="45"/>
  <c r="L9" i="45"/>
  <c r="M9" i="45"/>
  <c r="N9" i="45"/>
  <c r="O9" i="45"/>
  <c r="P9" i="45"/>
  <c r="Q9" i="45"/>
  <c r="R9" i="45"/>
  <c r="S9" i="45"/>
  <c r="T9" i="45"/>
  <c r="B10" i="45"/>
  <c r="B11" i="45" s="1"/>
  <c r="B12" i="45" s="1"/>
  <c r="B13" i="45" s="1"/>
  <c r="B14" i="45" s="1"/>
  <c r="B15" i="45" s="1"/>
  <c r="B16" i="45" s="1"/>
  <c r="B17" i="45" s="1"/>
  <c r="B18" i="45" s="1"/>
  <c r="B19" i="45" s="1"/>
  <c r="B20" i="45" s="1"/>
  <c r="B21" i="45" s="1"/>
  <c r="B22" i="45" s="1"/>
  <c r="B23" i="45" s="1"/>
  <c r="B24" i="45" s="1"/>
  <c r="B25" i="45" s="1"/>
  <c r="B26" i="45" s="1"/>
  <c r="B27" i="45" s="1"/>
  <c r="B28" i="45" s="1"/>
  <c r="B29" i="45" s="1"/>
  <c r="B30" i="45" s="1"/>
  <c r="B31" i="45" s="1"/>
  <c r="B32" i="45" s="1"/>
  <c r="B33" i="45" s="1"/>
  <c r="B34" i="45" s="1"/>
  <c r="B35" i="45" s="1"/>
  <c r="B36" i="45" s="1"/>
  <c r="B37" i="45" s="1"/>
  <c r="B38" i="45" s="1"/>
  <c r="B39" i="45" s="1"/>
  <c r="B40" i="45" s="1"/>
  <c r="B41" i="45" s="1"/>
  <c r="B42" i="45" s="1"/>
  <c r="B43" i="45" s="1"/>
  <c r="B44" i="45" s="1"/>
  <c r="B45" i="45" s="1"/>
  <c r="B46" i="45" s="1"/>
  <c r="B47" i="45" s="1"/>
  <c r="B48" i="45" s="1"/>
  <c r="B49" i="45" s="1"/>
  <c r="B50" i="45" s="1"/>
  <c r="B51" i="45" s="1"/>
  <c r="B52" i="45" s="1"/>
  <c r="B53" i="45" s="1"/>
  <c r="B54" i="45" s="1"/>
  <c r="B55" i="45" s="1"/>
  <c r="B56" i="45" s="1"/>
  <c r="B57" i="45" s="1"/>
  <c r="B58" i="45" s="1"/>
  <c r="B59" i="45" s="1"/>
  <c r="C10" i="45"/>
  <c r="D10" i="45"/>
  <c r="F10" i="45"/>
  <c r="G10" i="45"/>
  <c r="H10" i="45"/>
  <c r="I10" i="45"/>
  <c r="J10" i="45"/>
  <c r="K10" i="45"/>
  <c r="L10" i="45"/>
  <c r="M10" i="45"/>
  <c r="N10" i="45"/>
  <c r="O10" i="45"/>
  <c r="P10" i="45"/>
  <c r="Q10" i="45"/>
  <c r="R10" i="45"/>
  <c r="S10" i="45"/>
  <c r="T10" i="45"/>
  <c r="C11" i="45"/>
  <c r="D11" i="45"/>
  <c r="F11" i="45"/>
  <c r="G11" i="45"/>
  <c r="H11" i="45"/>
  <c r="I11" i="45"/>
  <c r="J11" i="45"/>
  <c r="K11" i="45"/>
  <c r="L11" i="45"/>
  <c r="M11" i="45"/>
  <c r="N11" i="45"/>
  <c r="O11" i="45"/>
  <c r="P11" i="45"/>
  <c r="Q11" i="45"/>
  <c r="R11" i="45"/>
  <c r="S11" i="45"/>
  <c r="T11" i="45"/>
  <c r="C12" i="45"/>
  <c r="D12" i="45"/>
  <c r="F12" i="45"/>
  <c r="G12" i="45"/>
  <c r="H12" i="45"/>
  <c r="I12" i="45"/>
  <c r="J12" i="45"/>
  <c r="K12" i="45"/>
  <c r="L12" i="45"/>
  <c r="M12" i="45"/>
  <c r="N12" i="45"/>
  <c r="O12" i="45"/>
  <c r="P12" i="45"/>
  <c r="Q12" i="45"/>
  <c r="R12" i="45"/>
  <c r="S12" i="45"/>
  <c r="T12" i="45"/>
  <c r="C13" i="45"/>
  <c r="D13" i="45"/>
  <c r="F13" i="45"/>
  <c r="G13" i="45"/>
  <c r="H13" i="45"/>
  <c r="I13" i="45"/>
  <c r="J13" i="45"/>
  <c r="K13" i="45"/>
  <c r="L13" i="45"/>
  <c r="M13" i="45"/>
  <c r="N13" i="45"/>
  <c r="O13" i="45"/>
  <c r="P13" i="45"/>
  <c r="Q13" i="45"/>
  <c r="R13" i="45"/>
  <c r="S13" i="45"/>
  <c r="T13" i="45"/>
  <c r="C14" i="45"/>
  <c r="D14" i="45"/>
  <c r="F14" i="45"/>
  <c r="G14" i="45"/>
  <c r="H14" i="45"/>
  <c r="I14" i="45"/>
  <c r="J14" i="45"/>
  <c r="K14" i="45"/>
  <c r="L14" i="45"/>
  <c r="M14" i="45"/>
  <c r="N14" i="45"/>
  <c r="O14" i="45"/>
  <c r="P14" i="45"/>
  <c r="Q14" i="45"/>
  <c r="R14" i="45"/>
  <c r="S14" i="45"/>
  <c r="T14" i="45"/>
  <c r="C15" i="45"/>
  <c r="D15" i="45"/>
  <c r="F15" i="45"/>
  <c r="G15" i="45"/>
  <c r="H15" i="45"/>
  <c r="I15" i="45"/>
  <c r="J15" i="45"/>
  <c r="K15" i="45"/>
  <c r="L15" i="45"/>
  <c r="M15" i="45"/>
  <c r="N15" i="45"/>
  <c r="O15" i="45"/>
  <c r="P15" i="45"/>
  <c r="Q15" i="45"/>
  <c r="R15" i="45"/>
  <c r="S15" i="45"/>
  <c r="T15" i="45"/>
  <c r="C16" i="45"/>
  <c r="D16" i="45"/>
  <c r="F16" i="45"/>
  <c r="G16" i="45"/>
  <c r="H16" i="45"/>
  <c r="I16" i="45"/>
  <c r="J16" i="45"/>
  <c r="K16" i="45"/>
  <c r="L16" i="45"/>
  <c r="M16" i="45"/>
  <c r="N16" i="45"/>
  <c r="O16" i="45"/>
  <c r="P16" i="45"/>
  <c r="Q16" i="45"/>
  <c r="R16" i="45"/>
  <c r="S16" i="45"/>
  <c r="T16" i="45"/>
  <c r="C17" i="45"/>
  <c r="D17" i="45"/>
  <c r="F17" i="45"/>
  <c r="G17" i="45"/>
  <c r="H17" i="45"/>
  <c r="I17" i="45"/>
  <c r="J17" i="45"/>
  <c r="K17" i="45"/>
  <c r="L17" i="45"/>
  <c r="M17" i="45"/>
  <c r="N17" i="45"/>
  <c r="O17" i="45"/>
  <c r="P17" i="45"/>
  <c r="Q17" i="45"/>
  <c r="R17" i="45"/>
  <c r="S17" i="45"/>
  <c r="T17" i="45"/>
  <c r="C18" i="45"/>
  <c r="D18" i="45"/>
  <c r="F18" i="45"/>
  <c r="G18" i="45"/>
  <c r="H18" i="45"/>
  <c r="I18" i="45"/>
  <c r="J18" i="45"/>
  <c r="K18" i="45"/>
  <c r="L18" i="45"/>
  <c r="M18" i="45"/>
  <c r="N18" i="45"/>
  <c r="O18" i="45"/>
  <c r="P18" i="45"/>
  <c r="Q18" i="45"/>
  <c r="R18" i="45"/>
  <c r="S18" i="45"/>
  <c r="T18" i="45"/>
  <c r="C19" i="45"/>
  <c r="D19" i="45"/>
  <c r="F19" i="45"/>
  <c r="G19" i="45"/>
  <c r="H19" i="45"/>
  <c r="I19" i="45"/>
  <c r="J19" i="45"/>
  <c r="K19" i="45"/>
  <c r="L19" i="45"/>
  <c r="M19" i="45"/>
  <c r="N19" i="45"/>
  <c r="O19" i="45"/>
  <c r="P19" i="45"/>
  <c r="Q19" i="45"/>
  <c r="R19" i="45"/>
  <c r="S19" i="45"/>
  <c r="T19" i="45"/>
  <c r="C20" i="45"/>
  <c r="D20" i="45"/>
  <c r="F20" i="45"/>
  <c r="G20" i="45"/>
  <c r="H20" i="45"/>
  <c r="I20" i="45"/>
  <c r="J20" i="45"/>
  <c r="K20" i="45"/>
  <c r="L20" i="45"/>
  <c r="M20" i="45"/>
  <c r="N20" i="45"/>
  <c r="O20" i="45"/>
  <c r="P20" i="45"/>
  <c r="Q20" i="45"/>
  <c r="R20" i="45"/>
  <c r="S20" i="45"/>
  <c r="T20" i="45"/>
  <c r="C21" i="45"/>
  <c r="D21" i="45"/>
  <c r="F21" i="45"/>
  <c r="G21" i="45"/>
  <c r="H21" i="45"/>
  <c r="I21" i="45"/>
  <c r="J21" i="45"/>
  <c r="K21" i="45"/>
  <c r="L21" i="45"/>
  <c r="M21" i="45"/>
  <c r="N21" i="45"/>
  <c r="O21" i="45"/>
  <c r="P21" i="45"/>
  <c r="Q21" i="45"/>
  <c r="R21" i="45"/>
  <c r="S21" i="45"/>
  <c r="T21" i="45"/>
  <c r="C22" i="45"/>
  <c r="D22" i="45"/>
  <c r="F22" i="45"/>
  <c r="G22" i="45"/>
  <c r="H22" i="45"/>
  <c r="I22" i="45"/>
  <c r="J22" i="45"/>
  <c r="K22" i="45"/>
  <c r="L22" i="45"/>
  <c r="M22" i="45"/>
  <c r="N22" i="45"/>
  <c r="O22" i="45"/>
  <c r="P22" i="45"/>
  <c r="Q22" i="45"/>
  <c r="R22" i="45"/>
  <c r="S22" i="45"/>
  <c r="T22" i="45"/>
  <c r="C23" i="45"/>
  <c r="D23" i="45"/>
  <c r="F23" i="45"/>
  <c r="G23" i="45"/>
  <c r="H23" i="45"/>
  <c r="I23" i="45"/>
  <c r="J23" i="45"/>
  <c r="K23" i="45"/>
  <c r="L23" i="45"/>
  <c r="M23" i="45"/>
  <c r="N23" i="45"/>
  <c r="O23" i="45"/>
  <c r="P23" i="45"/>
  <c r="Q23" i="45"/>
  <c r="R23" i="45"/>
  <c r="S23" i="45"/>
  <c r="T23" i="45"/>
  <c r="C24" i="45"/>
  <c r="D24" i="45"/>
  <c r="F24" i="45"/>
  <c r="G24" i="45"/>
  <c r="H24" i="45"/>
  <c r="I24" i="45"/>
  <c r="J24" i="45"/>
  <c r="K24" i="45"/>
  <c r="L24" i="45"/>
  <c r="M24" i="45"/>
  <c r="N24" i="45"/>
  <c r="O24" i="45"/>
  <c r="P24" i="45"/>
  <c r="Q24" i="45"/>
  <c r="R24" i="45"/>
  <c r="S24" i="45"/>
  <c r="T24" i="45"/>
  <c r="C25" i="45"/>
  <c r="D25" i="45"/>
  <c r="F25" i="45"/>
  <c r="G25" i="45"/>
  <c r="H25" i="45"/>
  <c r="I25" i="45"/>
  <c r="J25" i="45"/>
  <c r="K25" i="45"/>
  <c r="L25" i="45"/>
  <c r="M25" i="45"/>
  <c r="N25" i="45"/>
  <c r="O25" i="45"/>
  <c r="P25" i="45"/>
  <c r="Q25" i="45"/>
  <c r="R25" i="45"/>
  <c r="S25" i="45"/>
  <c r="T25" i="45"/>
  <c r="C26" i="45"/>
  <c r="D26" i="45"/>
  <c r="F26" i="45"/>
  <c r="G26" i="45"/>
  <c r="H26" i="45"/>
  <c r="I26" i="45"/>
  <c r="J26" i="45"/>
  <c r="K26" i="45"/>
  <c r="L26" i="45"/>
  <c r="M26" i="45"/>
  <c r="N26" i="45"/>
  <c r="O26" i="45"/>
  <c r="P26" i="45"/>
  <c r="Q26" i="45"/>
  <c r="R26" i="45"/>
  <c r="S26" i="45"/>
  <c r="T26" i="45"/>
  <c r="C27" i="45"/>
  <c r="D27" i="45"/>
  <c r="F27" i="45"/>
  <c r="G27" i="45"/>
  <c r="H27" i="45"/>
  <c r="I27" i="45"/>
  <c r="J27" i="45"/>
  <c r="K27" i="45"/>
  <c r="L27" i="45"/>
  <c r="M27" i="45"/>
  <c r="N27" i="45"/>
  <c r="O27" i="45"/>
  <c r="P27" i="45"/>
  <c r="Q27" i="45"/>
  <c r="R27" i="45"/>
  <c r="S27" i="45"/>
  <c r="T27" i="45"/>
  <c r="C28" i="45"/>
  <c r="D28" i="45"/>
  <c r="F28" i="45"/>
  <c r="G28" i="45"/>
  <c r="H28" i="45"/>
  <c r="I28" i="45"/>
  <c r="J28" i="45"/>
  <c r="K28" i="45"/>
  <c r="L28" i="45"/>
  <c r="M28" i="45"/>
  <c r="N28" i="45"/>
  <c r="O28" i="45"/>
  <c r="P28" i="45"/>
  <c r="Q28" i="45"/>
  <c r="R28" i="45"/>
  <c r="S28" i="45"/>
  <c r="T28" i="45"/>
  <c r="C29" i="45"/>
  <c r="D29" i="45"/>
  <c r="H29" i="45"/>
  <c r="I29" i="45"/>
  <c r="J29" i="45"/>
  <c r="L29" i="45"/>
  <c r="M29" i="45"/>
  <c r="N29" i="45"/>
  <c r="P29" i="45"/>
  <c r="Q29" i="45"/>
  <c r="R29" i="45"/>
  <c r="S29" i="45"/>
  <c r="T29" i="45"/>
  <c r="C30" i="45"/>
  <c r="D30" i="45"/>
  <c r="H30" i="45"/>
  <c r="I30" i="45"/>
  <c r="J30" i="45"/>
  <c r="L30" i="45"/>
  <c r="M30" i="45"/>
  <c r="N30" i="45"/>
  <c r="P30" i="45"/>
  <c r="Q30" i="45"/>
  <c r="R30" i="45"/>
  <c r="S30" i="45"/>
  <c r="T30" i="45"/>
  <c r="C31" i="45"/>
  <c r="D31" i="45"/>
  <c r="F31" i="45"/>
  <c r="G31" i="45"/>
  <c r="H31" i="45"/>
  <c r="I31" i="45"/>
  <c r="J31" i="45"/>
  <c r="K31" i="45"/>
  <c r="L31" i="45"/>
  <c r="M31" i="45"/>
  <c r="N31" i="45"/>
  <c r="O31" i="45"/>
  <c r="P31" i="45"/>
  <c r="Q31" i="45"/>
  <c r="R31" i="45"/>
  <c r="S31" i="45"/>
  <c r="T31" i="45"/>
  <c r="C32" i="45"/>
  <c r="D32" i="45"/>
  <c r="F32" i="45"/>
  <c r="G32" i="45"/>
  <c r="H32" i="45"/>
  <c r="I32" i="45"/>
  <c r="J32" i="45"/>
  <c r="K32" i="45"/>
  <c r="L32" i="45"/>
  <c r="M32" i="45"/>
  <c r="N32" i="45"/>
  <c r="O32" i="45"/>
  <c r="P32" i="45"/>
  <c r="Q32" i="45"/>
  <c r="R32" i="45"/>
  <c r="S32" i="45"/>
  <c r="T32" i="45"/>
  <c r="C33" i="45"/>
  <c r="D33" i="45"/>
  <c r="F33" i="45"/>
  <c r="G33" i="45"/>
  <c r="H33" i="45"/>
  <c r="I33" i="45"/>
  <c r="J33" i="45"/>
  <c r="K33" i="45"/>
  <c r="L33" i="45"/>
  <c r="M33" i="45"/>
  <c r="N33" i="45"/>
  <c r="O33" i="45"/>
  <c r="P33" i="45"/>
  <c r="Q33" i="45"/>
  <c r="R33" i="45"/>
  <c r="S33" i="45"/>
  <c r="T33" i="45"/>
  <c r="C34" i="45"/>
  <c r="D34" i="45"/>
  <c r="F34" i="45"/>
  <c r="G34" i="45"/>
  <c r="H34" i="45"/>
  <c r="I34" i="45"/>
  <c r="J34" i="45"/>
  <c r="K34" i="45"/>
  <c r="L34" i="45"/>
  <c r="M34" i="45"/>
  <c r="N34" i="45"/>
  <c r="O34" i="45"/>
  <c r="P34" i="45"/>
  <c r="Q34" i="45"/>
  <c r="R34" i="45"/>
  <c r="S34" i="45"/>
  <c r="T34" i="45"/>
  <c r="C35" i="45"/>
  <c r="D35" i="45"/>
  <c r="F35" i="45"/>
  <c r="G35" i="45"/>
  <c r="H35" i="45"/>
  <c r="I35" i="45"/>
  <c r="J35" i="45"/>
  <c r="K35" i="45"/>
  <c r="L35" i="45"/>
  <c r="M35" i="45"/>
  <c r="N35" i="45"/>
  <c r="O35" i="45"/>
  <c r="P35" i="45"/>
  <c r="Q35" i="45"/>
  <c r="R35" i="45"/>
  <c r="S35" i="45"/>
  <c r="T35" i="45"/>
  <c r="C36" i="45"/>
  <c r="D36" i="45"/>
  <c r="F36" i="45"/>
  <c r="G36" i="45"/>
  <c r="H36" i="45"/>
  <c r="I36" i="45"/>
  <c r="J36" i="45"/>
  <c r="K36" i="45"/>
  <c r="L36" i="45"/>
  <c r="M36" i="45"/>
  <c r="N36" i="45"/>
  <c r="O36" i="45"/>
  <c r="P36" i="45"/>
  <c r="Q36" i="45"/>
  <c r="R36" i="45"/>
  <c r="S36" i="45"/>
  <c r="T36" i="45"/>
  <c r="C37" i="45"/>
  <c r="D37" i="45"/>
  <c r="F37" i="45"/>
  <c r="G37" i="45"/>
  <c r="H37" i="45"/>
  <c r="I37" i="45"/>
  <c r="J37" i="45"/>
  <c r="K37" i="45"/>
  <c r="L37" i="45"/>
  <c r="M37" i="45"/>
  <c r="N37" i="45"/>
  <c r="O37" i="45"/>
  <c r="P37" i="45"/>
  <c r="Q37" i="45"/>
  <c r="R37" i="45"/>
  <c r="S37" i="45"/>
  <c r="T37" i="45"/>
  <c r="C38" i="45"/>
  <c r="D38" i="45"/>
  <c r="F38" i="45"/>
  <c r="G38" i="45"/>
  <c r="H38" i="45"/>
  <c r="I38" i="45"/>
  <c r="J38" i="45"/>
  <c r="K38" i="45"/>
  <c r="L38" i="45"/>
  <c r="M38" i="45"/>
  <c r="N38" i="45"/>
  <c r="O38" i="45"/>
  <c r="P38" i="45"/>
  <c r="Q38" i="45"/>
  <c r="R38" i="45"/>
  <c r="S38" i="45"/>
  <c r="T38" i="45"/>
  <c r="C39" i="45"/>
  <c r="D39" i="45"/>
  <c r="F39" i="45"/>
  <c r="G39" i="45"/>
  <c r="H39" i="45"/>
  <c r="I39" i="45"/>
  <c r="J39" i="45"/>
  <c r="K39" i="45"/>
  <c r="L39" i="45"/>
  <c r="M39" i="45"/>
  <c r="N39" i="45"/>
  <c r="O39" i="45"/>
  <c r="P39" i="45"/>
  <c r="Q39" i="45"/>
  <c r="R39" i="45"/>
  <c r="S39" i="45"/>
  <c r="T39" i="45"/>
  <c r="C40" i="45"/>
  <c r="D40" i="45"/>
  <c r="F40" i="45"/>
  <c r="G40" i="45"/>
  <c r="H40" i="45"/>
  <c r="I40" i="45"/>
  <c r="J40" i="45"/>
  <c r="K40" i="45"/>
  <c r="L40" i="45"/>
  <c r="M40" i="45"/>
  <c r="N40" i="45"/>
  <c r="O40" i="45"/>
  <c r="P40" i="45"/>
  <c r="Q40" i="45"/>
  <c r="R40" i="45"/>
  <c r="S40" i="45"/>
  <c r="T40" i="45"/>
  <c r="C41" i="45"/>
  <c r="D41" i="45"/>
  <c r="F41" i="45"/>
  <c r="G41" i="45"/>
  <c r="H41" i="45"/>
  <c r="I41" i="45"/>
  <c r="J41" i="45"/>
  <c r="K41" i="45"/>
  <c r="L41" i="45"/>
  <c r="M41" i="45"/>
  <c r="N41" i="45"/>
  <c r="O41" i="45"/>
  <c r="P41" i="45"/>
  <c r="Q41" i="45"/>
  <c r="R41" i="45"/>
  <c r="S41" i="45"/>
  <c r="T41" i="45"/>
  <c r="C42" i="45"/>
  <c r="D42" i="45"/>
  <c r="F42" i="45"/>
  <c r="G42" i="45"/>
  <c r="H42" i="45"/>
  <c r="I42" i="45"/>
  <c r="J42" i="45"/>
  <c r="K42" i="45"/>
  <c r="L42" i="45"/>
  <c r="M42" i="45"/>
  <c r="N42" i="45"/>
  <c r="O42" i="45"/>
  <c r="P42" i="45"/>
  <c r="Q42" i="45"/>
  <c r="R42" i="45"/>
  <c r="S42" i="45"/>
  <c r="T42" i="45"/>
  <c r="C43" i="45"/>
  <c r="D43" i="45"/>
  <c r="F43" i="45"/>
  <c r="G43" i="45"/>
  <c r="H43" i="45"/>
  <c r="I43" i="45"/>
  <c r="J43" i="45"/>
  <c r="K43" i="45"/>
  <c r="L43" i="45"/>
  <c r="M43" i="45"/>
  <c r="N43" i="45"/>
  <c r="O43" i="45"/>
  <c r="P43" i="45"/>
  <c r="Q43" i="45"/>
  <c r="R43" i="45"/>
  <c r="S43" i="45"/>
  <c r="T43" i="45"/>
  <c r="C44" i="45"/>
  <c r="D44" i="45"/>
  <c r="F44" i="45"/>
  <c r="G44" i="45"/>
  <c r="H44" i="45"/>
  <c r="I44" i="45"/>
  <c r="J44" i="45"/>
  <c r="K44" i="45"/>
  <c r="L44" i="45"/>
  <c r="M44" i="45"/>
  <c r="N44" i="45"/>
  <c r="O44" i="45"/>
  <c r="P44" i="45"/>
  <c r="Q44" i="45"/>
  <c r="R44" i="45"/>
  <c r="S44" i="45"/>
  <c r="T44" i="45"/>
  <c r="C45" i="45"/>
  <c r="D45" i="45"/>
  <c r="F45" i="45"/>
  <c r="G45" i="45"/>
  <c r="H45" i="45"/>
  <c r="I45" i="45"/>
  <c r="J45" i="45"/>
  <c r="K45" i="45"/>
  <c r="L45" i="45"/>
  <c r="M45" i="45"/>
  <c r="N45" i="45"/>
  <c r="O45" i="45"/>
  <c r="P45" i="45"/>
  <c r="Q45" i="45"/>
  <c r="R45" i="45"/>
  <c r="S45" i="45"/>
  <c r="T45" i="45"/>
  <c r="C46" i="45"/>
  <c r="D46" i="45"/>
  <c r="F46" i="45"/>
  <c r="G46" i="45"/>
  <c r="H46" i="45"/>
  <c r="I46" i="45"/>
  <c r="J46" i="45"/>
  <c r="K46" i="45"/>
  <c r="L46" i="45"/>
  <c r="M46" i="45"/>
  <c r="N46" i="45"/>
  <c r="O46" i="45"/>
  <c r="P46" i="45"/>
  <c r="Q46" i="45"/>
  <c r="R46" i="45"/>
  <c r="S46" i="45"/>
  <c r="T46" i="45"/>
  <c r="C47" i="45"/>
  <c r="D47" i="45"/>
  <c r="F47" i="45"/>
  <c r="G47" i="45"/>
  <c r="H47" i="45"/>
  <c r="I47" i="45"/>
  <c r="J47" i="45"/>
  <c r="K47" i="45"/>
  <c r="L47" i="45"/>
  <c r="M47" i="45"/>
  <c r="N47" i="45"/>
  <c r="O47" i="45"/>
  <c r="P47" i="45"/>
  <c r="Q47" i="45"/>
  <c r="R47" i="45"/>
  <c r="S47" i="45"/>
  <c r="T47" i="45"/>
  <c r="C48" i="45"/>
  <c r="D48" i="45"/>
  <c r="F48" i="45"/>
  <c r="G48" i="45"/>
  <c r="H48" i="45"/>
  <c r="I48" i="45"/>
  <c r="J48" i="45"/>
  <c r="K48" i="45"/>
  <c r="L48" i="45"/>
  <c r="M48" i="45"/>
  <c r="N48" i="45"/>
  <c r="O48" i="45"/>
  <c r="P48" i="45"/>
  <c r="Q48" i="45"/>
  <c r="R48" i="45"/>
  <c r="S48" i="45"/>
  <c r="T48" i="45"/>
  <c r="C49" i="45"/>
  <c r="D49" i="45"/>
  <c r="F49" i="45"/>
  <c r="G49" i="45"/>
  <c r="H49" i="45"/>
  <c r="I49" i="45"/>
  <c r="J49" i="45"/>
  <c r="K49" i="45"/>
  <c r="L49" i="45"/>
  <c r="M49" i="45"/>
  <c r="N49" i="45"/>
  <c r="O49" i="45"/>
  <c r="P49" i="45"/>
  <c r="Q49" i="45"/>
  <c r="R49" i="45"/>
  <c r="S49" i="45"/>
  <c r="T49" i="45"/>
  <c r="C50" i="45"/>
  <c r="D50" i="45"/>
  <c r="F50" i="45"/>
  <c r="G50" i="45"/>
  <c r="H50" i="45"/>
  <c r="I50" i="45"/>
  <c r="J50" i="45"/>
  <c r="K50" i="45"/>
  <c r="L50" i="45"/>
  <c r="M50" i="45"/>
  <c r="N50" i="45"/>
  <c r="O50" i="45"/>
  <c r="P50" i="45"/>
  <c r="Q50" i="45"/>
  <c r="R50" i="45"/>
  <c r="S50" i="45"/>
  <c r="T50" i="45"/>
  <c r="C51" i="45"/>
  <c r="D51" i="45"/>
  <c r="F51" i="45"/>
  <c r="G51" i="45"/>
  <c r="H51" i="45"/>
  <c r="I51" i="45"/>
  <c r="J51" i="45"/>
  <c r="K51" i="45"/>
  <c r="L51" i="45"/>
  <c r="M51" i="45"/>
  <c r="N51" i="45"/>
  <c r="O51" i="45"/>
  <c r="P51" i="45"/>
  <c r="Q51" i="45"/>
  <c r="R51" i="45"/>
  <c r="S51" i="45"/>
  <c r="T51" i="45"/>
  <c r="C52" i="45"/>
  <c r="D52" i="45"/>
  <c r="F52" i="45"/>
  <c r="G52" i="45"/>
  <c r="H52" i="45"/>
  <c r="I52" i="45"/>
  <c r="J52" i="45"/>
  <c r="K52" i="45"/>
  <c r="L52" i="45"/>
  <c r="M52" i="45"/>
  <c r="N52" i="45"/>
  <c r="O52" i="45"/>
  <c r="P52" i="45"/>
  <c r="Q52" i="45"/>
  <c r="R52" i="45"/>
  <c r="S52" i="45"/>
  <c r="T52" i="45"/>
  <c r="C53" i="45"/>
  <c r="D53" i="45"/>
  <c r="F53" i="45"/>
  <c r="G53" i="45"/>
  <c r="H53" i="45"/>
  <c r="I53" i="45"/>
  <c r="J53" i="45"/>
  <c r="K53" i="45"/>
  <c r="L53" i="45"/>
  <c r="M53" i="45"/>
  <c r="N53" i="45"/>
  <c r="O53" i="45"/>
  <c r="P53" i="45"/>
  <c r="Q53" i="45"/>
  <c r="R53" i="45"/>
  <c r="S53" i="45"/>
  <c r="T53" i="45"/>
  <c r="C54" i="45"/>
  <c r="D54" i="45"/>
  <c r="F54" i="45"/>
  <c r="G54" i="45"/>
  <c r="H54" i="45"/>
  <c r="I54" i="45"/>
  <c r="J54" i="45"/>
  <c r="K54" i="45"/>
  <c r="L54" i="45"/>
  <c r="M54" i="45"/>
  <c r="N54" i="45"/>
  <c r="O54" i="45"/>
  <c r="P54" i="45"/>
  <c r="Q54" i="45"/>
  <c r="R54" i="45"/>
  <c r="S54" i="45"/>
  <c r="T54" i="45"/>
  <c r="C55" i="45"/>
  <c r="D55" i="45"/>
  <c r="F55" i="45"/>
  <c r="G55" i="45"/>
  <c r="H55" i="45"/>
  <c r="I55" i="45"/>
  <c r="J55" i="45"/>
  <c r="K55" i="45"/>
  <c r="L55" i="45"/>
  <c r="M55" i="45"/>
  <c r="N55" i="45"/>
  <c r="O55" i="45"/>
  <c r="P55" i="45"/>
  <c r="Q55" i="45"/>
  <c r="R55" i="45"/>
  <c r="S55" i="45"/>
  <c r="T55" i="45"/>
  <c r="C56" i="45"/>
  <c r="D56" i="45"/>
  <c r="F56" i="45"/>
  <c r="G56" i="45"/>
  <c r="H56" i="45"/>
  <c r="I56" i="45"/>
  <c r="J56" i="45"/>
  <c r="K56" i="45"/>
  <c r="L56" i="45"/>
  <c r="M56" i="45"/>
  <c r="N56" i="45"/>
  <c r="O56" i="45"/>
  <c r="P56" i="45"/>
  <c r="Q56" i="45"/>
  <c r="R56" i="45"/>
  <c r="S56" i="45"/>
  <c r="T56" i="45"/>
  <c r="C57" i="45"/>
  <c r="D57" i="45"/>
  <c r="F57" i="45"/>
  <c r="G57" i="45"/>
  <c r="H57" i="45"/>
  <c r="I57" i="45"/>
  <c r="J57" i="45"/>
  <c r="K57" i="45"/>
  <c r="L57" i="45"/>
  <c r="M57" i="45"/>
  <c r="N57" i="45"/>
  <c r="O57" i="45"/>
  <c r="P57" i="45"/>
  <c r="Q57" i="45"/>
  <c r="R57" i="45"/>
  <c r="S57" i="45"/>
  <c r="T57" i="45"/>
  <c r="C58" i="45"/>
  <c r="D58" i="45"/>
  <c r="F58" i="45"/>
  <c r="G58" i="45"/>
  <c r="H58" i="45"/>
  <c r="I58" i="45"/>
  <c r="J58" i="45"/>
  <c r="K58" i="45"/>
  <c r="L58" i="45"/>
  <c r="M58" i="45"/>
  <c r="N58" i="45"/>
  <c r="O58" i="45"/>
  <c r="P58" i="45"/>
  <c r="Q58" i="45"/>
  <c r="R58" i="45"/>
  <c r="S58" i="45"/>
  <c r="T58" i="45"/>
  <c r="C59" i="45"/>
  <c r="D59" i="45"/>
  <c r="F59" i="45"/>
  <c r="G59" i="45"/>
  <c r="H59" i="45"/>
  <c r="I59" i="45"/>
  <c r="J59" i="45"/>
  <c r="K59" i="45"/>
  <c r="L59" i="45"/>
  <c r="M59" i="45"/>
  <c r="N59" i="45"/>
  <c r="O59" i="45"/>
  <c r="P59" i="45"/>
  <c r="Q59" i="45"/>
  <c r="R59" i="45"/>
  <c r="S59" i="45"/>
  <c r="T59" i="45"/>
  <c r="R49" i="49" l="1"/>
  <c r="R59" i="49" s="1"/>
  <c r="AU44" i="49"/>
  <c r="AG44" i="49"/>
  <c r="N39" i="49"/>
  <c r="BD38" i="49"/>
  <c r="AS49" i="49"/>
  <c r="AS59" i="49" s="1"/>
  <c r="AN40" i="49"/>
  <c r="AL49" i="49"/>
  <c r="AL59" i="49" s="1"/>
  <c r="AO49" i="49"/>
  <c r="AO59" i="49" s="1"/>
  <c r="AB49" i="49"/>
  <c r="AB59" i="49" s="1"/>
  <c r="AJ46" i="49"/>
  <c r="AW46" i="49"/>
  <c r="AT46" i="49"/>
  <c r="AG40" i="49"/>
  <c r="AN39" i="49"/>
  <c r="N21" i="49"/>
  <c r="AN18" i="49"/>
  <c r="N14" i="49"/>
  <c r="BD47" i="49"/>
  <c r="AU45" i="49"/>
  <c r="AN44" i="49"/>
  <c r="AM46" i="49"/>
  <c r="AU36" i="49"/>
  <c r="AU32" i="49"/>
  <c r="AU30" i="49"/>
  <c r="AR24" i="49"/>
  <c r="BH24" i="49"/>
  <c r="N34" i="49"/>
  <c r="AR37" i="49"/>
  <c r="N30" i="49"/>
  <c r="BG25" i="49"/>
  <c r="AG17" i="49"/>
  <c r="BC49" i="49"/>
  <c r="BH46" i="49"/>
  <c r="AG42" i="49"/>
  <c r="AG36" i="49"/>
  <c r="U37" i="49"/>
  <c r="BD25" i="49"/>
  <c r="P49" i="49"/>
  <c r="P59" i="49" s="1"/>
  <c r="AU41" i="49"/>
  <c r="L49" i="49"/>
  <c r="L59" i="49" s="1"/>
  <c r="BH37" i="49"/>
  <c r="AC37" i="49"/>
  <c r="AG23" i="49"/>
  <c r="AU17" i="49"/>
  <c r="N12" i="49"/>
  <c r="U24" i="49"/>
  <c r="M46" i="49"/>
  <c r="AN30" i="49"/>
  <c r="AG29" i="49"/>
  <c r="BE37" i="49"/>
  <c r="AG10" i="49"/>
  <c r="V49" i="49"/>
  <c r="V59" i="49" s="1"/>
  <c r="AN35" i="49"/>
  <c r="N32" i="49"/>
  <c r="AU23" i="49"/>
  <c r="AU18" i="49"/>
  <c r="AC24" i="49"/>
  <c r="BG47" i="49"/>
  <c r="BG38" i="49"/>
  <c r="H49" i="49"/>
  <c r="H59" i="49" s="1"/>
  <c r="AN22" i="49"/>
  <c r="AU19" i="49"/>
  <c r="AU10" i="49"/>
  <c r="BE46" i="49"/>
  <c r="AF46" i="49"/>
  <c r="BF49" i="49"/>
  <c r="AN8" i="49"/>
  <c r="BD49" i="49"/>
  <c r="N43" i="49"/>
  <c r="N33" i="49"/>
  <c r="AU29" i="49"/>
  <c r="N15" i="49"/>
  <c r="AN14" i="49"/>
  <c r="K24" i="49"/>
  <c r="J65" i="45"/>
  <c r="F21" i="48"/>
  <c r="J63" i="45"/>
  <c r="BH49" i="49"/>
  <c r="K46" i="49"/>
  <c r="AU35" i="49"/>
  <c r="AG34" i="49"/>
  <c r="AN23" i="49"/>
  <c r="AU22" i="49"/>
  <c r="AG22" i="49"/>
  <c r="N20" i="49"/>
  <c r="AN17" i="49"/>
  <c r="AU16" i="49"/>
  <c r="AG11" i="49"/>
  <c r="BG49" i="49"/>
  <c r="BG50" i="49" s="1"/>
  <c r="AU42" i="49"/>
  <c r="AN41" i="49"/>
  <c r="J49" i="49"/>
  <c r="J59" i="49" s="1"/>
  <c r="F49" i="49"/>
  <c r="F59" i="49" s="1"/>
  <c r="AN34" i="49"/>
  <c r="AU33" i="49"/>
  <c r="AG33" i="49"/>
  <c r="AG32" i="49"/>
  <c r="N29" i="49"/>
  <c r="AN28" i="49"/>
  <c r="AU27" i="49"/>
  <c r="AG21" i="49"/>
  <c r="AG18" i="49"/>
  <c r="N18" i="49"/>
  <c r="AN15" i="49"/>
  <c r="AU14" i="49"/>
  <c r="AN11" i="49"/>
  <c r="AU9" i="49"/>
  <c r="BE24" i="49"/>
  <c r="BE49" i="49" s="1"/>
  <c r="J64" i="45"/>
  <c r="N42" i="49"/>
  <c r="AX42" i="49" s="1"/>
  <c r="K37" i="49"/>
  <c r="K49" i="49" s="1"/>
  <c r="AN36" i="49"/>
  <c r="AG35" i="49"/>
  <c r="AX35" i="49" s="1"/>
  <c r="AW37" i="49"/>
  <c r="N31" i="49"/>
  <c r="AG28" i="49"/>
  <c r="N44" i="49"/>
  <c r="AX44" i="49" s="1"/>
  <c r="AZ44" i="49" s="1"/>
  <c r="N40" i="49"/>
  <c r="Q37" i="49"/>
  <c r="N36" i="49"/>
  <c r="N35" i="49"/>
  <c r="AU34" i="49"/>
  <c r="AN32" i="49"/>
  <c r="AU31" i="49"/>
  <c r="AG31" i="49"/>
  <c r="AU28" i="49"/>
  <c r="AG26" i="49"/>
  <c r="N23" i="49"/>
  <c r="N22" i="49"/>
  <c r="AN21" i="49"/>
  <c r="AU20" i="49"/>
  <c r="AG20" i="49"/>
  <c r="AG19" i="49"/>
  <c r="N17" i="49"/>
  <c r="AG16" i="49"/>
  <c r="AX16" i="49" s="1"/>
  <c r="N16" i="49"/>
  <c r="AU15" i="49"/>
  <c r="AG13" i="49"/>
  <c r="AU12" i="49"/>
  <c r="N10" i="49"/>
  <c r="AG9" i="49"/>
  <c r="AZ42" i="49"/>
  <c r="AE49" i="49"/>
  <c r="AJ37" i="49"/>
  <c r="AH49" i="49"/>
  <c r="AG30" i="49"/>
  <c r="AX30" i="49" s="1"/>
  <c r="Z37" i="49"/>
  <c r="M24" i="49"/>
  <c r="AF24" i="49"/>
  <c r="Q24" i="49"/>
  <c r="AM49" i="49"/>
  <c r="AI49" i="49"/>
  <c r="G49" i="49"/>
  <c r="AC46" i="49"/>
  <c r="AT24" i="49"/>
  <c r="AQ49" i="49"/>
  <c r="S49" i="49"/>
  <c r="O49" i="49"/>
  <c r="AG45" i="49"/>
  <c r="AG43" i="49"/>
  <c r="AG41" i="49"/>
  <c r="AR46" i="49"/>
  <c r="AU40" i="49"/>
  <c r="U46" i="49"/>
  <c r="AG39" i="49"/>
  <c r="AX39" i="49" s="1"/>
  <c r="AU26" i="49"/>
  <c r="AT37" i="49"/>
  <c r="AA49" i="49"/>
  <c r="W49" i="49"/>
  <c r="AN45" i="49"/>
  <c r="AN43" i="49"/>
  <c r="AX43" i="49" s="1"/>
  <c r="AG27" i="49"/>
  <c r="AX27" i="49" s="1"/>
  <c r="AF37" i="49"/>
  <c r="AG15" i="49"/>
  <c r="Z24" i="49"/>
  <c r="N26" i="49"/>
  <c r="M37" i="49"/>
  <c r="AX23" i="49"/>
  <c r="AU11" i="49"/>
  <c r="N9" i="49"/>
  <c r="AW24" i="49"/>
  <c r="AU13" i="49"/>
  <c r="AG12" i="49"/>
  <c r="N11" i="49"/>
  <c r="AN9" i="49"/>
  <c r="AJ24" i="49"/>
  <c r="AG8" i="49"/>
  <c r="AG14" i="49"/>
  <c r="N13" i="49"/>
  <c r="AX26" i="49" l="1"/>
  <c r="AN46" i="49"/>
  <c r="AX12" i="49"/>
  <c r="AX14" i="49"/>
  <c r="AX45" i="49"/>
  <c r="AZ45" i="49" s="1"/>
  <c r="N46" i="49"/>
  <c r="AX34" i="49"/>
  <c r="AZ34" i="49" s="1"/>
  <c r="AX17" i="49"/>
  <c r="AX19" i="49"/>
  <c r="AZ19" i="49" s="1"/>
  <c r="AX32" i="49"/>
  <c r="AZ32" i="49" s="1"/>
  <c r="AX29" i="49"/>
  <c r="AZ29" i="49" s="1"/>
  <c r="AX41" i="49"/>
  <c r="AX10" i="49"/>
  <c r="AZ10" i="49" s="1"/>
  <c r="AX20" i="49"/>
  <c r="AZ20" i="49" s="1"/>
  <c r="AX31" i="49"/>
  <c r="AZ31" i="49" s="1"/>
  <c r="AX22" i="49"/>
  <c r="Q49" i="49"/>
  <c r="Q59" i="49" s="1"/>
  <c r="AX21" i="49"/>
  <c r="AZ21" i="49" s="1"/>
  <c r="AG24" i="49"/>
  <c r="AN24" i="49"/>
  <c r="AX18" i="49"/>
  <c r="AZ18" i="49" s="1"/>
  <c r="AU37" i="49"/>
  <c r="AX15" i="49"/>
  <c r="AZ15" i="49" s="1"/>
  <c r="AX33" i="49"/>
  <c r="AZ33" i="49" s="1"/>
  <c r="BD50" i="49"/>
  <c r="J67" i="45"/>
  <c r="AX36" i="49"/>
  <c r="AZ36" i="49" s="1"/>
  <c r="AN37" i="49"/>
  <c r="AX13" i="49"/>
  <c r="AZ13" i="49" s="1"/>
  <c r="AU24" i="49"/>
  <c r="AX28" i="49"/>
  <c r="AZ28" i="49" s="1"/>
  <c r="AZ27" i="49"/>
  <c r="AZ14" i="49"/>
  <c r="AZ12" i="49"/>
  <c r="AZ35" i="49"/>
  <c r="AR49" i="49"/>
  <c r="AQ59" i="49"/>
  <c r="AZ23" i="49"/>
  <c r="W59" i="49"/>
  <c r="AZ16" i="49"/>
  <c r="AX9" i="49"/>
  <c r="AG37" i="49"/>
  <c r="AX8" i="49"/>
  <c r="AZ26" i="49"/>
  <c r="M49" i="49"/>
  <c r="N37" i="49"/>
  <c r="O59" i="49"/>
  <c r="AZ41" i="49"/>
  <c r="AG46" i="49"/>
  <c r="K59" i="49"/>
  <c r="AM59" i="49"/>
  <c r="Z49" i="49"/>
  <c r="AE59" i="49"/>
  <c r="AX11" i="49"/>
  <c r="AZ17" i="49"/>
  <c r="AZ43" i="49"/>
  <c r="AA59" i="49"/>
  <c r="U49" i="49"/>
  <c r="S59" i="49"/>
  <c r="AW49" i="49"/>
  <c r="AC49" i="49"/>
  <c r="AZ22" i="49"/>
  <c r="N24" i="49"/>
  <c r="AZ30" i="49"/>
  <c r="AF49" i="49"/>
  <c r="AZ39" i="49"/>
  <c r="AT49" i="49"/>
  <c r="AX40" i="49"/>
  <c r="AX46" i="49" s="1"/>
  <c r="AR47" i="49" s="1"/>
  <c r="AU46" i="49"/>
  <c r="G59" i="49"/>
  <c r="AI59" i="49"/>
  <c r="AJ49" i="49"/>
  <c r="AH59" i="49"/>
  <c r="AX37" i="49" l="1"/>
  <c r="AN38" i="49" s="1"/>
  <c r="AW59" i="49"/>
  <c r="AZ11" i="49"/>
  <c r="Z59" i="49"/>
  <c r="AG47" i="49"/>
  <c r="AR59" i="49"/>
  <c r="AU47" i="49"/>
  <c r="K38" i="49"/>
  <c r="O38" i="49"/>
  <c r="AA38" i="49"/>
  <c r="AE38" i="49"/>
  <c r="AQ38" i="49"/>
  <c r="AY38" i="49"/>
  <c r="P38" i="49"/>
  <c r="T38" i="49"/>
  <c r="AR38" i="49"/>
  <c r="I38" i="49"/>
  <c r="AC38" i="49"/>
  <c r="AK38" i="49"/>
  <c r="AD38" i="49"/>
  <c r="R38" i="49"/>
  <c r="V38" i="49"/>
  <c r="AL38" i="49"/>
  <c r="AV38" i="49"/>
  <c r="AW38" i="49"/>
  <c r="AZ8" i="49"/>
  <c r="AX24" i="49"/>
  <c r="AJ59" i="49"/>
  <c r="U59" i="49"/>
  <c r="N49" i="49"/>
  <c r="AT59" i="49"/>
  <c r="AY25" i="49"/>
  <c r="F47" i="49"/>
  <c r="J47" i="49"/>
  <c r="R47" i="49"/>
  <c r="V47" i="49"/>
  <c r="Z47" i="49"/>
  <c r="AD47" i="49"/>
  <c r="AH47" i="49"/>
  <c r="AL47" i="49"/>
  <c r="AP47" i="49"/>
  <c r="AT47" i="49"/>
  <c r="AX47" i="49"/>
  <c r="H47" i="49"/>
  <c r="L47" i="49"/>
  <c r="P47" i="49"/>
  <c r="T47" i="49"/>
  <c r="X47" i="49"/>
  <c r="AB47" i="49"/>
  <c r="AF47" i="49"/>
  <c r="AJ47" i="49"/>
  <c r="AV47" i="49"/>
  <c r="Q47" i="49"/>
  <c r="AW47" i="49"/>
  <c r="AK47" i="49"/>
  <c r="I47" i="49"/>
  <c r="Y47" i="49"/>
  <c r="AO47" i="49"/>
  <c r="M47" i="49"/>
  <c r="AS47" i="49"/>
  <c r="AY47" i="49"/>
  <c r="S47" i="49"/>
  <c r="AA47" i="49"/>
  <c r="AE47" i="49"/>
  <c r="AM47" i="49"/>
  <c r="K47" i="49"/>
  <c r="AQ47" i="49"/>
  <c r="O47" i="49"/>
  <c r="W47" i="49"/>
  <c r="AI47" i="49"/>
  <c r="G47" i="49"/>
  <c r="AZ40" i="49"/>
  <c r="AZ46" i="49" s="1"/>
  <c r="AZ47" i="49" s="1"/>
  <c r="AF59" i="49"/>
  <c r="AC47" i="49"/>
  <c r="AZ37" i="49"/>
  <c r="AG49" i="49"/>
  <c r="AG38" i="49"/>
  <c r="AN47" i="49"/>
  <c r="AC59" i="49"/>
  <c r="U47" i="49"/>
  <c r="AN49" i="49"/>
  <c r="N47" i="49"/>
  <c r="AU49" i="49"/>
  <c r="M59" i="49"/>
  <c r="AZ9" i="49"/>
  <c r="AZ38" i="49" l="1"/>
  <c r="AH38" i="49"/>
  <c r="AP38" i="49"/>
  <c r="F38" i="49"/>
  <c r="AS38" i="49"/>
  <c r="Y38" i="49"/>
  <c r="AB38" i="49"/>
  <c r="L38" i="49"/>
  <c r="AM38" i="49"/>
  <c r="W38" i="49"/>
  <c r="G38" i="49"/>
  <c r="N38" i="49"/>
  <c r="AJ38" i="49"/>
  <c r="Q38" i="49"/>
  <c r="J38" i="49"/>
  <c r="AX38" i="49"/>
  <c r="AO38" i="49"/>
  <c r="U38" i="49"/>
  <c r="X38" i="49"/>
  <c r="H38" i="49"/>
  <c r="AI38" i="49"/>
  <c r="S38" i="49"/>
  <c r="AU38" i="49"/>
  <c r="AT38" i="49"/>
  <c r="AF38" i="49"/>
  <c r="M38" i="49"/>
  <c r="Z38" i="49"/>
  <c r="AX49" i="49"/>
  <c r="AK50" i="49" s="1"/>
  <c r="AK60" i="49" s="1"/>
  <c r="Y50" i="49"/>
  <c r="Y60" i="49" s="1"/>
  <c r="AZ49" i="49"/>
  <c r="BA57" i="49"/>
  <c r="AX61" i="49"/>
  <c r="AV50" i="49"/>
  <c r="AV60" i="49" s="1"/>
  <c r="BA28" i="49"/>
  <c r="BA21" i="49"/>
  <c r="BA27" i="49"/>
  <c r="BA31" i="49"/>
  <c r="BA17" i="49"/>
  <c r="BA43" i="49"/>
  <c r="S50" i="49"/>
  <c r="S60" i="49" s="1"/>
  <c r="BA32" i="49"/>
  <c r="AH50" i="49"/>
  <c r="AH60" i="49" s="1"/>
  <c r="W50" i="49"/>
  <c r="W60" i="49" s="1"/>
  <c r="BA13" i="49"/>
  <c r="AM50" i="49"/>
  <c r="AM60" i="49" s="1"/>
  <c r="AW50" i="49"/>
  <c r="AW60" i="49" s="1"/>
  <c r="AT50" i="49"/>
  <c r="AT60" i="49" s="1"/>
  <c r="BA8" i="49"/>
  <c r="AN50" i="49"/>
  <c r="AN60" i="49" s="1"/>
  <c r="AN59" i="49"/>
  <c r="N50" i="49"/>
  <c r="N60" i="49" s="1"/>
  <c r="N59" i="49"/>
  <c r="AZ24" i="49"/>
  <c r="AZ25" i="49" s="1"/>
  <c r="AU59" i="49"/>
  <c r="AG50" i="49"/>
  <c r="AG60" i="49" s="1"/>
  <c r="AG59" i="49"/>
  <c r="I25" i="49"/>
  <c r="I53" i="49" s="1"/>
  <c r="I54" i="49" s="1"/>
  <c r="U25" i="49"/>
  <c r="Y25" i="49"/>
  <c r="AC25" i="49"/>
  <c r="AK25" i="49"/>
  <c r="AO25" i="49"/>
  <c r="AO53" i="49" s="1"/>
  <c r="AO54" i="49" s="1"/>
  <c r="AS25" i="49"/>
  <c r="AS53" i="49" s="1"/>
  <c r="AS54" i="49" s="1"/>
  <c r="AX25" i="49"/>
  <c r="G25" i="49"/>
  <c r="G53" i="49" s="1"/>
  <c r="G54" i="49" s="1"/>
  <c r="K25" i="49"/>
  <c r="O25" i="49"/>
  <c r="O53" i="49" s="1"/>
  <c r="O54" i="49" s="1"/>
  <c r="S25" i="49"/>
  <c r="W25" i="49"/>
  <c r="AA25" i="49"/>
  <c r="AE25" i="49"/>
  <c r="AI25" i="49"/>
  <c r="AM25" i="49"/>
  <c r="AQ25" i="49"/>
  <c r="AQ53" i="49" s="1"/>
  <c r="AQ54" i="49" s="1"/>
  <c r="T25" i="49"/>
  <c r="H25" i="49"/>
  <c r="H53" i="49" s="1"/>
  <c r="H54" i="49" s="1"/>
  <c r="X25" i="49"/>
  <c r="L25" i="49"/>
  <c r="L53" i="49" s="1"/>
  <c r="L54" i="49" s="1"/>
  <c r="AB25" i="49"/>
  <c r="AR25" i="49"/>
  <c r="P25" i="49"/>
  <c r="P53" i="49" s="1"/>
  <c r="P54" i="49" s="1"/>
  <c r="AV25" i="49"/>
  <c r="AV53" i="49" s="1"/>
  <c r="AV54" i="49" s="1"/>
  <c r="AH25" i="49"/>
  <c r="J25" i="49"/>
  <c r="J53" i="49" s="1"/>
  <c r="J54" i="49" s="1"/>
  <c r="AP25" i="49"/>
  <c r="AP53" i="49" s="1"/>
  <c r="AP54" i="49" s="1"/>
  <c r="F25" i="49"/>
  <c r="F53" i="49" s="1"/>
  <c r="F54" i="49" s="1"/>
  <c r="AD25" i="49"/>
  <c r="V25" i="49"/>
  <c r="AL25" i="49"/>
  <c r="R25" i="49"/>
  <c r="AT25" i="49"/>
  <c r="AW25" i="49"/>
  <c r="Q25" i="49"/>
  <c r="AU25" i="49"/>
  <c r="AF25" i="49"/>
  <c r="AJ25" i="49"/>
  <c r="M25" i="49"/>
  <c r="AG25" i="49"/>
  <c r="AN25" i="49"/>
  <c r="Z25" i="49"/>
  <c r="N25" i="49"/>
  <c r="AC50" i="49" l="1"/>
  <c r="AC60" i="49" s="1"/>
  <c r="BA29" i="49"/>
  <c r="BA14" i="49"/>
  <c r="BA15" i="49"/>
  <c r="BA12" i="49"/>
  <c r="J50" i="49"/>
  <c r="J60" i="49" s="1"/>
  <c r="H50" i="49"/>
  <c r="H60" i="49" s="1"/>
  <c r="AB50" i="49"/>
  <c r="AB60" i="49" s="1"/>
  <c r="I50" i="49"/>
  <c r="I60" i="49" s="1"/>
  <c r="BA9" i="49"/>
  <c r="AR50" i="49"/>
  <c r="AR60" i="49" s="1"/>
  <c r="BA16" i="49"/>
  <c r="G50" i="49"/>
  <c r="G60" i="49" s="1"/>
  <c r="AA50" i="49"/>
  <c r="AA60" i="49" s="1"/>
  <c r="BA19" i="49"/>
  <c r="BA36" i="49"/>
  <c r="BA10" i="49"/>
  <c r="AL50" i="49"/>
  <c r="AL60" i="49" s="1"/>
  <c r="AD50" i="49"/>
  <c r="AD60" i="49" s="1"/>
  <c r="V50" i="49"/>
  <c r="V60" i="49" s="1"/>
  <c r="M50" i="49"/>
  <c r="M60" i="49" s="1"/>
  <c r="BA45" i="49"/>
  <c r="K50" i="49"/>
  <c r="K60" i="49" s="1"/>
  <c r="AE50" i="49"/>
  <c r="AE60" i="49" s="1"/>
  <c r="BA26" i="49"/>
  <c r="BA42" i="49"/>
  <c r="P50" i="49"/>
  <c r="P60" i="49" s="1"/>
  <c r="T50" i="49"/>
  <c r="T60" i="49" s="1"/>
  <c r="R50" i="49"/>
  <c r="R60" i="49" s="1"/>
  <c r="AU50" i="49"/>
  <c r="AU60" i="49" s="1"/>
  <c r="BA40" i="49"/>
  <c r="AF50" i="49"/>
  <c r="AF60" i="49" s="1"/>
  <c r="BA30" i="49"/>
  <c r="Q50" i="49"/>
  <c r="Q60" i="49" s="1"/>
  <c r="O50" i="49"/>
  <c r="O60" i="49" s="1"/>
  <c r="BA23" i="49"/>
  <c r="L50" i="49"/>
  <c r="L60" i="49" s="1"/>
  <c r="BA33" i="49"/>
  <c r="AX59" i="49"/>
  <c r="AS50" i="49"/>
  <c r="AS60" i="49" s="1"/>
  <c r="AJ50" i="49"/>
  <c r="AJ60" i="49" s="1"/>
  <c r="U50" i="49"/>
  <c r="U60" i="49" s="1"/>
  <c r="BA34" i="49"/>
  <c r="AI50" i="49"/>
  <c r="AI60" i="49" s="1"/>
  <c r="BA39" i="49"/>
  <c r="AQ50" i="49"/>
  <c r="AQ60" i="49" s="1"/>
  <c r="BA18" i="49"/>
  <c r="BA44" i="49"/>
  <c r="AX50" i="49"/>
  <c r="AZ50" i="49" s="1"/>
  <c r="AO50" i="49"/>
  <c r="AO60" i="49" s="1"/>
  <c r="Z50" i="49"/>
  <c r="Z60" i="49" s="1"/>
  <c r="BA11" i="49"/>
  <c r="BA41" i="49"/>
  <c r="BA20" i="49"/>
  <c r="BA22" i="49"/>
  <c r="BA35" i="49"/>
  <c r="F50" i="49"/>
  <c r="F60" i="49" s="1"/>
  <c r="X50" i="49"/>
  <c r="X60" i="49" s="1"/>
  <c r="AP50" i="49"/>
  <c r="AP60" i="49" s="1"/>
  <c r="BA37" i="49" l="1"/>
  <c r="BA38" i="49" s="1"/>
  <c r="BA46" i="49"/>
  <c r="BA24" i="49"/>
  <c r="AX60" i="49"/>
  <c r="H37" i="5"/>
  <c r="BA14" i="42" l="1"/>
  <c r="AZ14" i="42"/>
  <c r="AY14" i="42"/>
  <c r="AX14" i="42"/>
  <c r="AW14" i="42"/>
  <c r="AV14" i="42"/>
  <c r="AU14" i="42"/>
  <c r="AT14" i="42"/>
  <c r="AS14" i="42"/>
  <c r="AR14" i="42"/>
  <c r="AQ14" i="42"/>
  <c r="AP14" i="42"/>
  <c r="AO14" i="42"/>
  <c r="AN14" i="42"/>
  <c r="AM14" i="42"/>
  <c r="AL14" i="42"/>
  <c r="AK14" i="42"/>
  <c r="AJ14" i="42"/>
  <c r="AI14" i="42"/>
  <c r="AH14" i="42"/>
  <c r="AG14" i="42"/>
  <c r="AF14" i="42"/>
  <c r="AE14" i="42"/>
  <c r="AD14" i="42"/>
  <c r="AC14" i="42"/>
  <c r="AB14" i="42"/>
  <c r="AA14" i="42"/>
  <c r="Z14" i="42"/>
  <c r="Y14" i="42"/>
  <c r="X14" i="42"/>
  <c r="W14" i="42"/>
  <c r="V14" i="42"/>
  <c r="U14" i="42"/>
  <c r="T14" i="42"/>
  <c r="S14" i="42"/>
  <c r="R14" i="42"/>
  <c r="Q14" i="42"/>
  <c r="P14" i="42"/>
  <c r="O14" i="42"/>
  <c r="N14" i="42"/>
  <c r="M14" i="42"/>
  <c r="L14" i="42"/>
  <c r="K14" i="42"/>
  <c r="J14" i="42"/>
  <c r="I14" i="42"/>
  <c r="H14" i="42"/>
  <c r="G14" i="42"/>
  <c r="F14" i="42"/>
  <c r="E14" i="42"/>
  <c r="D14" i="42"/>
  <c r="C14" i="42"/>
  <c r="B14" i="42"/>
  <c r="BB13" i="42"/>
  <c r="BB12" i="42"/>
  <c r="BB11" i="42"/>
  <c r="BB10" i="42"/>
  <c r="BB9" i="42"/>
  <c r="BB8" i="42"/>
  <c r="BB7" i="42"/>
  <c r="BB6" i="42"/>
  <c r="BB5" i="42"/>
  <c r="BB14" i="42" l="1"/>
  <c r="H38" i="5"/>
  <c r="H39" i="5"/>
  <c r="H40" i="5"/>
  <c r="H42" i="5"/>
  <c r="H48" i="5"/>
  <c r="H49" i="5"/>
  <c r="H51" i="5"/>
  <c r="H52" i="5"/>
  <c r="F228" i="36" l="1"/>
  <c r="F222" i="36"/>
  <c r="F220" i="36"/>
  <c r="F218" i="36"/>
  <c r="F212" i="36"/>
  <c r="F210" i="36"/>
  <c r="F203" i="36"/>
  <c r="F200" i="36"/>
  <c r="F199" i="36"/>
  <c r="F189" i="36"/>
  <c r="F188" i="36"/>
  <c r="F187" i="36"/>
  <c r="F183" i="36"/>
  <c r="F179" i="36"/>
  <c r="F173" i="36"/>
  <c r="F171" i="36"/>
  <c r="F161" i="36"/>
  <c r="E160" i="36"/>
  <c r="E159" i="36"/>
  <c r="E158" i="36"/>
  <c r="E157" i="36"/>
  <c r="E156" i="36"/>
  <c r="E155" i="36"/>
  <c r="E154" i="36"/>
  <c r="F151" i="36"/>
  <c r="F146" i="36"/>
  <c r="F145" i="36"/>
  <c r="E143" i="36"/>
  <c r="F142" i="36"/>
  <c r="E142" i="36"/>
  <c r="E141" i="36"/>
  <c r="E140" i="36"/>
  <c r="E139" i="36"/>
  <c r="F138" i="36"/>
  <c r="E137" i="36"/>
  <c r="E136" i="36"/>
  <c r="F136" i="36" s="1"/>
  <c r="E135" i="36"/>
  <c r="E134" i="36"/>
  <c r="E133" i="36"/>
  <c r="F132" i="36"/>
  <c r="E130" i="36"/>
  <c r="E129" i="36"/>
  <c r="E128" i="36"/>
  <c r="E127" i="36"/>
  <c r="F124" i="36"/>
  <c r="G66" i="36"/>
  <c r="G65" i="36"/>
  <c r="G64" i="36"/>
  <c r="G63" i="36"/>
  <c r="G62" i="36"/>
  <c r="G61" i="36"/>
  <c r="H61" i="36" s="1"/>
  <c r="G60" i="36"/>
  <c r="G59" i="36"/>
  <c r="G58" i="36"/>
  <c r="H58" i="36" s="1"/>
  <c r="G57" i="36"/>
  <c r="G56" i="36"/>
  <c r="H56" i="36" s="1"/>
  <c r="G55" i="36"/>
  <c r="G54" i="36"/>
  <c r="H54" i="36" s="1"/>
  <c r="G53" i="36"/>
  <c r="H53" i="36" s="1"/>
  <c r="G52" i="36"/>
  <c r="H52" i="36" s="1"/>
  <c r="G51" i="36"/>
  <c r="H51" i="36" s="1"/>
  <c r="G50" i="36"/>
  <c r="H50" i="36" s="1"/>
  <c r="G49" i="36"/>
  <c r="G48" i="36"/>
  <c r="G47" i="36"/>
  <c r="H47" i="36" s="1"/>
  <c r="G46" i="36"/>
  <c r="H46" i="36" s="1"/>
  <c r="G45" i="36"/>
  <c r="H45" i="36" s="1"/>
  <c r="G44" i="36"/>
  <c r="G43" i="36"/>
  <c r="G42" i="36"/>
  <c r="G41" i="36"/>
  <c r="G40" i="36"/>
  <c r="H40" i="36" s="1"/>
  <c r="G39" i="36"/>
  <c r="G38" i="36"/>
  <c r="G37" i="36"/>
  <c r="G36" i="36"/>
  <c r="H36" i="36" s="1"/>
  <c r="G35" i="36"/>
  <c r="G34" i="36"/>
  <c r="F127" i="36" s="1"/>
  <c r="G33" i="36"/>
  <c r="H33" i="36" s="1"/>
  <c r="G32" i="36"/>
  <c r="H32" i="36" s="1"/>
  <c r="G31" i="36"/>
  <c r="H31" i="36" s="1"/>
  <c r="G30" i="36"/>
  <c r="H30" i="36" s="1"/>
  <c r="G29" i="36"/>
  <c r="H29" i="36" s="1"/>
  <c r="H28" i="36"/>
  <c r="H27" i="36"/>
  <c r="H26" i="36"/>
  <c r="H25" i="36"/>
  <c r="H24" i="36"/>
  <c r="H23" i="36"/>
  <c r="H22" i="36"/>
  <c r="H21" i="36"/>
  <c r="H20" i="36"/>
  <c r="H19" i="36"/>
  <c r="H18" i="36"/>
  <c r="H17" i="36"/>
  <c r="AL62" i="35"/>
  <c r="AK62" i="35"/>
  <c r="V51" i="35"/>
  <c r="M51" i="35"/>
  <c r="AW35" i="35"/>
  <c r="AV9" i="35" s="1"/>
  <c r="AN35" i="35"/>
  <c r="AE32" i="35"/>
  <c r="M30" i="35"/>
  <c r="V27" i="35"/>
  <c r="M27" i="35"/>
  <c r="M25" i="35"/>
  <c r="M24" i="35"/>
  <c r="M23" i="35"/>
  <c r="M22" i="35"/>
  <c r="M21" i="35"/>
  <c r="M20" i="35"/>
  <c r="M19" i="35"/>
  <c r="M18" i="35"/>
  <c r="L9" i="35"/>
  <c r="P9" i="35" s="1"/>
  <c r="AV7" i="35"/>
  <c r="AM7" i="35"/>
  <c r="AD7" i="35"/>
  <c r="AH9" i="35" s="1"/>
  <c r="U7" i="35"/>
  <c r="AM9" i="35" l="1"/>
  <c r="AZ9" i="35"/>
  <c r="V32" i="35"/>
  <c r="U9" i="35" s="1"/>
  <c r="Y9" i="35" s="1"/>
  <c r="AQ9" i="35"/>
  <c r="AE34" i="35"/>
  <c r="F130" i="36"/>
  <c r="H34" i="36"/>
  <c r="E131" i="36"/>
  <c r="F131" i="36" s="1"/>
  <c r="M32" i="35"/>
  <c r="M33" i="35" s="1"/>
  <c r="V33" i="35" l="1"/>
  <c r="C13" i="5"/>
  <c r="P51" i="11" l="1"/>
  <c r="R21" i="11"/>
  <c r="Q21" i="11"/>
  <c r="M21" i="11"/>
  <c r="F51" i="5"/>
  <c r="F50" i="5"/>
  <c r="F49" i="5"/>
  <c r="F48" i="5"/>
  <c r="F46" i="5"/>
  <c r="F44" i="5"/>
  <c r="F42" i="5"/>
  <c r="F41" i="5"/>
  <c r="F37" i="5"/>
  <c r="D39" i="5"/>
  <c r="D40" i="5"/>
  <c r="D41" i="5"/>
  <c r="D42" i="5"/>
  <c r="D43" i="5"/>
  <c r="D44" i="5"/>
  <c r="D46" i="5"/>
  <c r="D48" i="5"/>
  <c r="D49" i="5"/>
  <c r="D50" i="5"/>
  <c r="D51" i="5"/>
  <c r="D52" i="5"/>
  <c r="D38" i="5"/>
  <c r="D37" i="5"/>
  <c r="E37" i="47"/>
</calcChain>
</file>

<file path=xl/comments1.xml><?xml version="1.0" encoding="utf-8"?>
<comments xmlns="http://schemas.openxmlformats.org/spreadsheetml/2006/main">
  <authors>
    <author>GALARZA Carmen</author>
    <author>Veronica Alvarado</author>
  </authors>
  <commentList>
    <comment ref="D7" authorId="0" shapeId="0">
      <text>
        <r>
          <rPr>
            <b/>
            <sz val="9"/>
            <color indexed="81"/>
            <rFont val="Tahoma"/>
            <family val="2"/>
          </rPr>
          <t>GALARZA Carmen:</t>
        </r>
        <r>
          <rPr>
            <sz val="9"/>
            <color indexed="81"/>
            <rFont val="Tahoma"/>
            <family val="2"/>
          </rPr>
          <t xml:space="preserve">
Total amount without considering MIE Fee</t>
        </r>
      </text>
    </comment>
    <comment ref="L7" authorId="0" shapeId="0">
      <text>
        <r>
          <rPr>
            <b/>
            <sz val="9"/>
            <color indexed="81"/>
            <rFont val="Tahoma"/>
            <family val="2"/>
          </rPr>
          <t>GALARZA Carmen:</t>
        </r>
        <r>
          <rPr>
            <sz val="9"/>
            <color indexed="81"/>
            <rFont val="Tahoma"/>
            <family val="2"/>
          </rPr>
          <t xml:space="preserve">
Total amount without considering MIE Fee </t>
        </r>
      </text>
    </comment>
    <comment ref="U7" authorId="1" shapeId="0">
      <text>
        <r>
          <rPr>
            <b/>
            <sz val="8"/>
            <color indexed="81"/>
            <rFont val="Tahoma"/>
            <family val="2"/>
          </rPr>
          <t>Veronica Alvarado:</t>
        </r>
        <r>
          <rPr>
            <sz val="8"/>
            <color indexed="81"/>
            <rFont val="Tahoma"/>
            <family val="2"/>
          </rPr>
          <t xml:space="preserve">
Not considering MIE Fee</t>
        </r>
      </text>
    </comment>
    <comment ref="AD7" authorId="1" shapeId="0">
      <text>
        <r>
          <rPr>
            <b/>
            <sz val="8"/>
            <color indexed="81"/>
            <rFont val="Tahoma"/>
            <family val="2"/>
          </rPr>
          <t>Veronica Alvarado:</t>
        </r>
        <r>
          <rPr>
            <sz val="8"/>
            <color indexed="81"/>
            <rFont val="Tahoma"/>
            <family val="2"/>
          </rPr>
          <t xml:space="preserve">
Not considering MIE Fee</t>
        </r>
      </text>
    </comment>
    <comment ref="AM7" authorId="1" shapeId="0">
      <text>
        <r>
          <rPr>
            <b/>
            <sz val="8"/>
            <color indexed="81"/>
            <rFont val="Tahoma"/>
            <family val="2"/>
          </rPr>
          <t>Veronica Alvarado:</t>
        </r>
        <r>
          <rPr>
            <sz val="8"/>
            <color indexed="81"/>
            <rFont val="Tahoma"/>
            <family val="2"/>
          </rPr>
          <t xml:space="preserve">
Not considering MIE Fee</t>
        </r>
      </text>
    </comment>
    <comment ref="AV7" authorId="1" shapeId="0">
      <text>
        <r>
          <rPr>
            <b/>
            <sz val="8"/>
            <color indexed="81"/>
            <rFont val="Tahoma"/>
            <family val="2"/>
          </rPr>
          <t>Veronica Alvarado:</t>
        </r>
        <r>
          <rPr>
            <sz val="8"/>
            <color indexed="81"/>
            <rFont val="Tahoma"/>
            <family val="2"/>
          </rPr>
          <t xml:space="preserve">
Not considering MIE Fee</t>
        </r>
      </text>
    </comment>
  </commentList>
</comments>
</file>

<file path=xl/comments2.xml><?xml version="1.0" encoding="utf-8"?>
<comments xmlns="http://schemas.openxmlformats.org/spreadsheetml/2006/main">
  <authors>
    <author>rojas rojas julio javier</author>
    <author>Personal</author>
  </authors>
  <commentList>
    <comment ref="F7" authorId="0" shapeId="0">
      <text>
        <r>
          <rPr>
            <b/>
            <sz val="14"/>
            <color indexed="81"/>
            <rFont val="Tahoma"/>
            <family val="2"/>
          </rPr>
          <t xml:space="preserve">Cielo abierto, cemento. </t>
        </r>
      </text>
    </comment>
    <comment ref="G7" authorId="0" shapeId="0">
      <text>
        <r>
          <rPr>
            <b/>
            <sz val="16"/>
            <color indexed="81"/>
            <rFont val="Tahoma"/>
            <family val="2"/>
          </rPr>
          <t>PVC y accesorios.</t>
        </r>
      </text>
    </comment>
    <comment ref="H8" authorId="0" shapeId="0">
      <text>
        <r>
          <rPr>
            <b/>
            <sz val="9"/>
            <color indexed="81"/>
            <rFont val="Tahoma"/>
            <family val="2"/>
          </rPr>
          <t xml:space="preserve">Hacer un reservorio. </t>
        </r>
      </text>
    </comment>
    <comment ref="AQ8" authorId="0" shapeId="0">
      <text>
        <r>
          <rPr>
            <b/>
            <sz val="9"/>
            <color indexed="81"/>
            <rFont val="Tahoma"/>
            <family val="2"/>
          </rPr>
          <t xml:space="preserve">Hacer un reservorio. </t>
        </r>
      </text>
    </comment>
    <comment ref="T14" authorId="1" shapeId="0">
      <text>
        <r>
          <rPr>
            <b/>
            <sz val="9"/>
            <color indexed="81"/>
            <rFont val="Tahoma"/>
            <family val="2"/>
          </rPr>
          <t>MEZCLA FORREJERA</t>
        </r>
      </text>
    </comment>
    <comment ref="O15" authorId="0" shapeId="0">
      <text>
        <r>
          <rPr>
            <b/>
            <sz val="9"/>
            <color indexed="81"/>
            <rFont val="Tahoma"/>
            <family val="2"/>
          </rPr>
          <t xml:space="preserve">Enfocado en juntas de riego. 
</t>
        </r>
      </text>
    </comment>
    <comment ref="P15" authorId="0" shapeId="0">
      <text>
        <r>
          <rPr>
            <b/>
            <sz val="9"/>
            <color indexed="81"/>
            <rFont val="Tahoma"/>
            <family val="2"/>
          </rPr>
          <t xml:space="preserve">Enfocado en juntas de riego. 
</t>
        </r>
      </text>
    </comment>
    <comment ref="L16" authorId="0" shapeId="0">
      <text>
        <r>
          <rPr>
            <b/>
            <sz val="12"/>
            <color indexed="81"/>
            <rFont val="Tahoma"/>
            <family val="2"/>
          </rPr>
          <t xml:space="preserve">Por goteo y microaspersión. </t>
        </r>
      </text>
    </comment>
    <comment ref="AL21" authorId="0" shapeId="0">
      <text>
        <r>
          <rPr>
            <b/>
            <sz val="9"/>
            <color indexed="81"/>
            <rFont val="Tahoma"/>
            <family val="2"/>
          </rPr>
          <t>Fortlaecimiento de la tienda comunitaria.</t>
        </r>
      </text>
    </comment>
    <comment ref="T22" authorId="1" shapeId="0">
      <text>
        <r>
          <rPr>
            <b/>
            <sz val="9"/>
            <color indexed="81"/>
            <rFont val="Tahoma"/>
            <family val="2"/>
          </rPr>
          <t>MEZCLA FORRAJERA</t>
        </r>
      </text>
    </comment>
    <comment ref="R23" authorId="0" shapeId="0">
      <text>
        <r>
          <rPr>
            <b/>
            <sz val="9"/>
            <color indexed="81"/>
            <rFont val="Tahoma"/>
            <family val="2"/>
          </rPr>
          <t>Campaña de vacunación?TECNICO DEL GAD P MANIFIESTA QUE EXISTE LA CAMPAÑA DE VACUNACIÓN A CARGO DEL MAGAP</t>
        </r>
      </text>
    </comment>
    <comment ref="AE33" authorId="1" shapeId="0">
      <text>
        <r>
          <rPr>
            <b/>
            <sz val="12"/>
            <color indexed="81"/>
            <rFont val="Tahoma"/>
            <family val="2"/>
          </rPr>
          <t>JCO: LOS TÉCNIOS MANIFIESTAN QUE ES LA MATERIA PRIMA PARA LA PRODUCCIÓN DE ABONOS ORGÁNICOS</t>
        </r>
      </text>
    </comment>
    <comment ref="O42" authorId="0" shapeId="0">
      <text>
        <r>
          <rPr>
            <b/>
            <sz val="9"/>
            <color indexed="81"/>
            <rFont val="Tahoma"/>
            <family val="2"/>
          </rPr>
          <t xml:space="preserve">Diagnostico y prpuesta de funcionamiento. Intercambio entre AGUAPAS y ETAPA. 
ANALISIS DE PROCEDIMIENTO
</t>
        </r>
      </text>
    </comment>
    <comment ref="P42" authorId="0" shapeId="0">
      <text>
        <r>
          <rPr>
            <b/>
            <sz val="9"/>
            <color indexed="81"/>
            <rFont val="Tahoma"/>
            <family val="2"/>
          </rPr>
          <t xml:space="preserve">Diagnostico y prpuesta de funcionamiento. Intercambio entre AGUAPAS y ETAPA. 
ANALISIS DE PROCEDIMIENTO
</t>
        </r>
      </text>
    </comment>
    <comment ref="O43" authorId="0" shapeId="0">
      <text>
        <r>
          <rPr>
            <b/>
            <sz val="9"/>
            <color indexed="81"/>
            <rFont val="Tahoma"/>
            <family val="2"/>
          </rPr>
          <t xml:space="preserve">Para junta de agua potable. 
Casacay centro y Quera. </t>
        </r>
      </text>
    </comment>
    <comment ref="P43" authorId="0" shapeId="0">
      <text>
        <r>
          <rPr>
            <b/>
            <sz val="9"/>
            <color indexed="81"/>
            <rFont val="Tahoma"/>
            <family val="2"/>
          </rPr>
          <t xml:space="preserve">Para junta de agua potable. 
Casacay centro y Quera. </t>
        </r>
      </text>
    </comment>
    <comment ref="AD44" authorId="0" shapeId="0">
      <text>
        <r>
          <rPr>
            <b/>
            <sz val="9"/>
            <color indexed="81"/>
            <rFont val="Tahoma"/>
            <family val="2"/>
          </rPr>
          <t xml:space="preserve">Revisar si efectivamente va aquí. 
</t>
        </r>
        <r>
          <rPr>
            <b/>
            <sz val="12"/>
            <color indexed="81"/>
            <rFont val="Tahoma"/>
            <family val="2"/>
          </rPr>
          <t>JCO: SE TRATA DE COMPONENTES PARA LA PRODUCCIÓN DE BIOL</t>
        </r>
      </text>
    </comment>
    <comment ref="L45" authorId="1" shapeId="0">
      <text>
        <r>
          <rPr>
            <b/>
            <sz val="12"/>
            <color indexed="81"/>
            <rFont val="Tahoma"/>
            <family val="2"/>
          </rPr>
          <t>JCO:</t>
        </r>
        <r>
          <rPr>
            <sz val="12"/>
            <color indexed="81"/>
            <rFont val="Tahoma"/>
            <family val="2"/>
          </rPr>
          <t xml:space="preserve">
Es por compra de cemento para arreglos puntuales del  sistema de riego parcelario</t>
        </r>
      </text>
    </comment>
    <comment ref="O45" authorId="0" shapeId="0">
      <text>
        <r>
          <rPr>
            <b/>
            <sz val="9"/>
            <color indexed="81"/>
            <rFont val="Tahoma"/>
            <family val="2"/>
          </rPr>
          <t xml:space="preserve">Sólo del agua de consuma humano. </t>
        </r>
      </text>
    </comment>
    <comment ref="P45" authorId="0" shapeId="0">
      <text>
        <r>
          <rPr>
            <b/>
            <sz val="9"/>
            <color indexed="81"/>
            <rFont val="Tahoma"/>
            <family val="2"/>
          </rPr>
          <t xml:space="preserve">Sólo del agua de consuma humano. </t>
        </r>
      </text>
    </comment>
  </commentList>
</comments>
</file>

<file path=xl/sharedStrings.xml><?xml version="1.0" encoding="utf-8"?>
<sst xmlns="http://schemas.openxmlformats.org/spreadsheetml/2006/main" count="2916" uniqueCount="1642">
  <si>
    <t>Project Performance Report (PPR)</t>
  </si>
  <si>
    <t>Period of Report (Dates)</t>
  </si>
  <si>
    <t xml:space="preserve">Project Title: </t>
  </si>
  <si>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</si>
  <si>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</si>
  <si>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</si>
  <si>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</si>
  <si>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</si>
  <si>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</si>
  <si>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</si>
  <si>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</si>
  <si>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</si>
  <si>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 xml:space="preserve">Database Number: </t>
  </si>
  <si>
    <t>Afghanistan</t>
  </si>
  <si>
    <t>FP</t>
  </si>
  <si>
    <t>Yes</t>
  </si>
  <si>
    <t>Biodiversity</t>
  </si>
  <si>
    <t>U</t>
  </si>
  <si>
    <t>BD-SP1-PA Financing</t>
  </si>
  <si>
    <t>1: Arid &amp; semi-arid ecosystems</t>
  </si>
  <si>
    <t>Implementing Entity (IE) [name]:</t>
  </si>
  <si>
    <t>Albania</t>
  </si>
  <si>
    <t>MSP</t>
  </si>
  <si>
    <t>No</t>
  </si>
  <si>
    <t>Climate Change Adaptation</t>
  </si>
  <si>
    <t>S</t>
  </si>
  <si>
    <t>BD-SP2-Marine PA</t>
  </si>
  <si>
    <t>2: Coastal, marine &amp; freshwater ecosystems</t>
  </si>
  <si>
    <t>Type of IE:</t>
  </si>
  <si>
    <t>Multilateral</t>
  </si>
  <si>
    <t>Algeria</t>
  </si>
  <si>
    <t>EA</t>
  </si>
  <si>
    <t>Climate Change Mitigation</t>
  </si>
  <si>
    <t>MU</t>
  </si>
  <si>
    <t>BD-SP3-PA Networks</t>
  </si>
  <si>
    <t>3: Forest ecosystems</t>
  </si>
  <si>
    <t xml:space="preserve">Country(ies): </t>
  </si>
  <si>
    <t>Ecuador</t>
  </si>
  <si>
    <t>Angola</t>
  </si>
  <si>
    <t>International Waters</t>
  </si>
  <si>
    <t>Good</t>
  </si>
  <si>
    <t>BD-SP5-Markets</t>
  </si>
  <si>
    <t>13: Conservation and Sustainable Use of Biological Diversity Important to Agriculture</t>
  </si>
  <si>
    <t>Relevant Geographic Points (i.e. cities, villages, bodies of water):</t>
  </si>
  <si>
    <t>Argentina</t>
  </si>
  <si>
    <t>Multiple Focal Area</t>
  </si>
  <si>
    <t>BD-SP7-Invasive Alien Species(IAS)</t>
  </si>
  <si>
    <t>6: Promoting the adoption of renewable energy by removing barriers and reducing implementation costs</t>
  </si>
  <si>
    <t>CC-SP2- Industrial EE</t>
  </si>
  <si>
    <t>8: Waterbody based operational program</t>
  </si>
  <si>
    <t>Project Milestones</t>
  </si>
  <si>
    <t>CC-SP3-RE,CC-SP4-Biomass</t>
  </si>
  <si>
    <t>9: Integrated Land and Water multiple focal area</t>
  </si>
  <si>
    <t>Milestone</t>
  </si>
  <si>
    <t>Bahamas</t>
  </si>
  <si>
    <t>CC-SP5-Transport</t>
  </si>
  <si>
    <t>10: Contaminants based operational program</t>
  </si>
  <si>
    <t>AFB Approval Date:</t>
  </si>
  <si>
    <t>March 18, 2011</t>
  </si>
  <si>
    <t>IE-AFB Agreement Signature Date:</t>
  </si>
  <si>
    <t>July 2011</t>
  </si>
  <si>
    <t>CC-SP6-LULUCF</t>
  </si>
  <si>
    <t>12: Integrated Ecosystem Management</t>
  </si>
  <si>
    <t>Start of Project/Programme:</t>
  </si>
  <si>
    <t>November 29, 2011</t>
  </si>
  <si>
    <t>Cross cutting capacity building</t>
  </si>
  <si>
    <t>14: Persistent Organic Pollutants</t>
  </si>
  <si>
    <t>Mid-term Review Date (if planned):</t>
  </si>
  <si>
    <t>Terminal Evaluation Date:</t>
  </si>
  <si>
    <t>List documents/ reports/ brochures / articles that have been prepared about the project.</t>
  </si>
  <si>
    <t>Cyprus</t>
  </si>
  <si>
    <t>Czech Republic</t>
  </si>
  <si>
    <t>List the Website address (URL) of project.</t>
  </si>
  <si>
    <t>Democratic People's Republic of Korea</t>
  </si>
  <si>
    <t>n/a</t>
  </si>
  <si>
    <t>Democratic Republic of the Congo</t>
  </si>
  <si>
    <t>Denmark</t>
  </si>
  <si>
    <t xml:space="preserve">Project contacts:  </t>
  </si>
  <si>
    <t>Djibouti</t>
  </si>
  <si>
    <t>National Project Manager/Coordinator</t>
  </si>
  <si>
    <t>Dominica</t>
  </si>
  <si>
    <t xml:space="preserve">Name: </t>
  </si>
  <si>
    <t>Javier Rojas, Project Manager</t>
  </si>
  <si>
    <t>Dominican Republic</t>
  </si>
  <si>
    <t xml:space="preserve">Email: </t>
  </si>
  <si>
    <t>julio.rojas@ambiente.gob.ec</t>
  </si>
  <si>
    <t xml:space="preserve">Date: </t>
  </si>
  <si>
    <t>Egypt</t>
  </si>
  <si>
    <t>Government DA</t>
  </si>
  <si>
    <t>El Salvador</t>
  </si>
  <si>
    <t>Equatoral Guinea</t>
  </si>
  <si>
    <t>Eritrea</t>
  </si>
  <si>
    <t>Estonia</t>
  </si>
  <si>
    <t>Implementing Entity</t>
  </si>
  <si>
    <t>Ethiopia</t>
  </si>
  <si>
    <t>Fiji</t>
  </si>
  <si>
    <t>kyungnan.park@wfp.org</t>
  </si>
  <si>
    <t>Finland</t>
  </si>
  <si>
    <t>France</t>
  </si>
  <si>
    <t>Executing Agency</t>
  </si>
  <si>
    <t>Gambia</t>
  </si>
  <si>
    <t>Diego Guzman, National Director of Climate Change Adaptation</t>
  </si>
  <si>
    <t>Georgia</t>
  </si>
  <si>
    <t>diegog.guzman@ambiente.gob.ec</t>
  </si>
  <si>
    <t>Germany</t>
  </si>
  <si>
    <t>Ghana</t>
  </si>
  <si>
    <t>Greece</t>
  </si>
  <si>
    <t>Grenada</t>
  </si>
  <si>
    <t>Guatemala</t>
  </si>
  <si>
    <t>Guinea</t>
  </si>
  <si>
    <t>Gustavo Baroja, Prefect of the Autonomous Government of the Pichincha Province</t>
  </si>
  <si>
    <t>gbaroja@pichincha.gob.ec</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</si>
  <si>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</si>
  <si>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</si>
  <si>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</si>
  <si>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</si>
  <si>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</si>
  <si>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</si>
  <si>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</si>
  <si>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</si>
  <si>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</si>
  <si>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</si>
  <si>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</si>
  <si>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</si>
  <si>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</si>
  <si>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</si>
  <si>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</si>
  <si>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</si>
  <si>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</si>
  <si>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</si>
  <si>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</si>
  <si>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</si>
  <si>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</si>
  <si>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</si>
  <si>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</si>
  <si>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</si>
  <si>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</si>
  <si>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</si>
  <si>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</si>
  <si>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</si>
  <si>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</si>
  <si>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</si>
  <si>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</si>
  <si>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</si>
  <si>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</si>
  <si>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</si>
  <si>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</si>
  <si>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</si>
  <si>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</si>
  <si>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</si>
  <si>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</si>
  <si>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</si>
  <si>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</si>
  <si>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</si>
  <si>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</si>
  <si>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</si>
  <si>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</si>
  <si>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</si>
  <si>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</si>
  <si>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</si>
  <si>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</si>
  <si>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</si>
  <si>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</si>
  <si>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</si>
  <si>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</si>
  <si>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</si>
  <si>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</si>
  <si>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</si>
  <si>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</si>
  <si>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</si>
  <si>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</si>
  <si>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</si>
  <si>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</si>
  <si>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</si>
  <si>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</si>
  <si>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</si>
  <si>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</si>
  <si>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</si>
  <si>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</si>
  <si>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</si>
  <si>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</si>
  <si>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</si>
  <si>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</si>
  <si>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</si>
  <si>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</si>
  <si>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</si>
  <si>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</si>
  <si>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</si>
  <si>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</si>
  <si>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</si>
  <si>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</si>
  <si>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</si>
  <si>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</si>
  <si>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</si>
  <si>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</si>
  <si>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</si>
  <si>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</si>
  <si>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</si>
  <si>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</si>
  <si>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</si>
  <si>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</si>
  <si>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</si>
  <si>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</si>
  <si>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</si>
  <si>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</si>
  <si>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</si>
  <si>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</si>
  <si>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</si>
  <si>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</si>
  <si>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</si>
  <si>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</si>
  <si>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</si>
  <si>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</si>
  <si>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</si>
  <si>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</si>
  <si>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</si>
  <si>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</si>
  <si>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</si>
  <si>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</si>
  <si>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</si>
  <si>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</si>
  <si>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</si>
  <si>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</si>
  <si>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</si>
  <si>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</si>
  <si>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</si>
  <si>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</si>
  <si>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</si>
  <si>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</si>
  <si>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</si>
  <si>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</si>
  <si>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</si>
  <si>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</si>
  <si>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</si>
  <si>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Financial information:  cumulative from project start to December 2016</t>
  </si>
  <si>
    <t>Financial information:  cumulative from project start to December 2015</t>
  </si>
  <si>
    <t>Financial information:  cumulative from project start to December 2014</t>
  </si>
  <si>
    <t>Financial information:  cumulative from project start to December 2013</t>
  </si>
  <si>
    <t>Financial information:  cumulative from project start to December 2012</t>
  </si>
  <si>
    <t xml:space="preserve">DISBURSEMENT OF AF GRANT FUNDS </t>
  </si>
  <si>
    <t>How much of the total AF grant as noted in Project Document plus any project preparation grant has been spent to date?</t>
  </si>
  <si>
    <r>
      <t>Estimated cumulative total disbursement as of</t>
    </r>
    <r>
      <rPr>
        <b/>
        <sz val="11"/>
        <color indexed="10"/>
        <rFont val="Times New Roman"/>
        <family val="1"/>
      </rPr>
      <t xml:space="preserve"> </t>
    </r>
    <r>
      <rPr>
        <b/>
        <sz val="11"/>
        <rFont val="Times New Roman"/>
        <family val="1"/>
      </rPr>
      <t>December 2016</t>
    </r>
  </si>
  <si>
    <r>
      <t>Estimated cumulative total disbursement as of</t>
    </r>
    <r>
      <rPr>
        <b/>
        <sz val="11"/>
        <color indexed="10"/>
        <rFont val="Times New Roman"/>
        <family val="1"/>
      </rPr>
      <t xml:space="preserve"> </t>
    </r>
    <r>
      <rPr>
        <b/>
        <sz val="11"/>
        <rFont val="Times New Roman"/>
        <family val="1"/>
      </rPr>
      <t>December 2015</t>
    </r>
  </si>
  <si>
    <t>Estimated cumulative total disbursement as of November 2014</t>
  </si>
  <si>
    <t>Estimated cumulative total disbursement as of November 2013</t>
  </si>
  <si>
    <t>Estimated cumulative total disbursement as of November 2012</t>
  </si>
  <si>
    <t>Add any comments on AF Grant Funds. (word limit=200)</t>
  </si>
  <si>
    <t>Under a harmonized approach to cash transfers (HACT), this amount includes only expenses made by: a) WFP on behalf of MAE - executing agency, b) MAE as national executing agency; c) CCRJ as local executing partner; and d) GAD PP as local executing partner.
The amount of $4,304,646 is an accumulative expense amount up to December 31st, 2016 and represents 68% of actual disbursement of AF. The amount for 2016 (January to December) is US$ 2,033,693.40.</t>
  </si>
  <si>
    <t xml:space="preserve">Under a harmonized approach to cash transfers (HACT), this amount includes all and only expenses made by: a) WFP on behalf of MAE - executing agency, b) MAE as national executing agency; c) CCRJ as local executing partner; and d) GAD PP as local executing partner.
The figures of 2013 are amended according actual expenditures. Commitments reported on PPR 2013 are now decreased.
The amount of $ 1,417.113,05 is an accumulative expense amount up to December 31st, 2014. The amount for 2014 (January to December 2014) is US$ 563.446,72
For 2015 indicative budget, the adjustments to the logical framework are included. Some values budgeted are already committed ($491.525,00) through contracts and agreements signed. </t>
  </si>
  <si>
    <r>
      <t xml:space="preserve">Under a harmonized approach to cash transfers (HACT), this amount includes </t>
    </r>
    <r>
      <rPr>
        <u/>
        <sz val="11"/>
        <rFont val="Times New Roman"/>
        <family val="1"/>
      </rPr>
      <t>only expenses</t>
    </r>
    <r>
      <rPr>
        <sz val="11"/>
        <rFont val="Times New Roman"/>
        <family val="1"/>
      </rPr>
      <t xml:space="preserve"> made by: a) WFP on behalf of MAE - executing agency, b) MAE as national executing agency; c) CCRJ as local executing partner; and d) GAD PP as local executing partner.
</t>
    </r>
    <r>
      <rPr>
        <b/>
        <sz val="11"/>
        <rFont val="Times New Roman"/>
        <family val="1"/>
      </rPr>
      <t>The amount of 853.666,33 is an accumulative amount up to date. The amount for 2013 is $ 561.018,73</t>
    </r>
  </si>
  <si>
    <r>
      <t xml:space="preserve">Under harmonized approach to cash transfer (HACT), this amount includes </t>
    </r>
    <r>
      <rPr>
        <u/>
        <sz val="11"/>
        <rFont val="Times New Roman"/>
        <family val="1"/>
      </rPr>
      <t>only expenses</t>
    </r>
    <r>
      <rPr>
        <sz val="11"/>
        <rFont val="Times New Roman"/>
        <family val="1"/>
      </rPr>
      <t xml:space="preserve"> made by: a) WFP on behalf of MAE - executing agency and b) MAE as national executing agency.</t>
    </r>
  </si>
  <si>
    <t xml:space="preserve">INVESTMENT INCOME </t>
  </si>
  <si>
    <t>Amount of annual investment income generated from the Adaptation Fund’s grant</t>
  </si>
  <si>
    <t>EXPENDITURE DATA</t>
  </si>
  <si>
    <t>List output and corresponding amount spent for the current reporting period</t>
  </si>
  <si>
    <t>ITEM / ACTIVITY / ACTION</t>
  </si>
  <si>
    <t>AMOUNT</t>
  </si>
  <si>
    <t>1.1.1. Parishes in targeted cantons trained in climate change threats and adaptation measures which reduce vulnerability, in particular related to food security</t>
  </si>
  <si>
    <t>1.1.2. Targeted parishes participate in adaptation and risk reduction awareness activities</t>
  </si>
  <si>
    <t>1.1.3. Food security and gender considerations integrated in all adaptation training programs</t>
  </si>
  <si>
    <t>1.2.1.  Local adaptation plans developed to reduce vulnerabilities to climate change induced food insecurity in targeted areas</t>
  </si>
  <si>
    <t>1.2.1. Parish adaptation plans developed to reduce vulnerabilities to climate change induced food insecurity in targeted areas</t>
  </si>
  <si>
    <t>1.2.2. Community participation in processes to develop adaptation plans in targeted parishes</t>
  </si>
  <si>
    <t>1.2.3. Agreements developed and signed among targeted parishes, GADPP or CCRJ, MAE and WFP to implement adaptation actions</t>
  </si>
  <si>
    <t>1.2.3. Agreements developed and signed among targeted parishes, GPP or CCRJ, MAE and WFP to implement adaptation actions</t>
  </si>
  <si>
    <t>1.2.4. Women participated in processes and decision making to develop adaptation plans</t>
  </si>
  <si>
    <t>1.3.1. A climatic information system, including monitoring of climatic events, designed and implemented in each targeted areas in accordance with local context</t>
  </si>
  <si>
    <t>1.3.1. Community early warning system designed, implemented and maintained</t>
  </si>
  <si>
    <t>1.3.2. Monitoring system to track project results and lessons learned</t>
  </si>
  <si>
    <t>1.3.2. Monitoring system in place to track climate events in targeted parishes</t>
  </si>
  <si>
    <t>2.1.1. Concrete adaptation measures based on parish adaptation plans are designed</t>
  </si>
  <si>
    <t>1.3.3. Monitoring system to track project results and lessons learned</t>
  </si>
  <si>
    <t>2.1.2. Adaptation to climate change measures (physical assets, natural assets and technologies) are implemented according with the parishes adaptation plans</t>
  </si>
  <si>
    <t>2.1.3. Implementation strategy includes approach for the use of incentives</t>
  </si>
  <si>
    <t>2.1.2. Physical assets created, improved or maintained</t>
  </si>
  <si>
    <t>2.2.1. Community participation, in particular of women, guide decision making processes for project execution</t>
  </si>
  <si>
    <t>2.1.3. Natural resources assets created, improved or maintained</t>
  </si>
  <si>
    <t>2.2.2. Parishes share success stories and lessons learned</t>
  </si>
  <si>
    <t>2.1.4. Identification of adaptation technology requirements</t>
  </si>
  <si>
    <t>Execution Cost</t>
  </si>
  <si>
    <t>2.1.5. Implementation strategy includes approach for the use of incentives</t>
  </si>
  <si>
    <t>TOTAL</t>
  </si>
  <si>
    <t>Total</t>
  </si>
  <si>
    <t>PLANNED EXPENDITURE SCHEDULE</t>
  </si>
  <si>
    <t>List outputs planned and corresponding projected cost for the upcoming reporting period</t>
  </si>
  <si>
    <t>PROJECTED COST</t>
  </si>
  <si>
    <t>Est. Completion Date</t>
  </si>
  <si>
    <t>March 2017</t>
  </si>
  <si>
    <t>December 2016</t>
  </si>
  <si>
    <t>December 2017</t>
  </si>
  <si>
    <t>June 2017</t>
  </si>
  <si>
    <r>
      <t xml:space="preserve">ACTUAL CO-FINANCING </t>
    </r>
    <r>
      <rPr>
        <i/>
        <sz val="11"/>
        <color indexed="8"/>
        <rFont val="Times New Roman"/>
        <family val="1"/>
      </rPr>
      <t xml:space="preserve">(If the MTR or TE have not been undertaken this reporting period, DO NOT report on actual co-financing.) </t>
    </r>
  </si>
  <si>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</si>
  <si>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</si>
  <si>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</si>
  <si>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r>
      <t xml:space="preserve">The amount confirmed at MTR corresponds to years 2013 and 2014.
This project has been able to leverage additional funds through formal commitments from local governments, MAE and UN Women. It is an important indication that even though co-financing is not required by the Adaptation Fund, the Government of Ecuador is committed to leveraging additional funds for the Project. MAE, WFP, UNWomen, GADPP and CCRJ committed cash &amp; in kind resources for project execution such as:
</t>
    </r>
    <r>
      <rPr>
        <b/>
        <sz val="11"/>
        <color indexed="8"/>
        <rFont val="Times New Roman"/>
        <family val="1"/>
      </rPr>
      <t>2013 US$ 112.985,00</t>
    </r>
    <r>
      <rPr>
        <sz val="11"/>
        <color indexed="8"/>
        <rFont val="Times New Roman"/>
        <family val="1"/>
      </rPr>
      <t xml:space="preserve">
MAE US$ 35.720,00
UNWomen US$ 77.265,00
</t>
    </r>
    <r>
      <rPr>
        <b/>
        <sz val="11"/>
        <color indexed="8"/>
        <rFont val="Times New Roman"/>
        <family val="1"/>
      </rPr>
      <t>2014 US$ 477.221,59</t>
    </r>
    <r>
      <rPr>
        <sz val="11"/>
        <color indexed="8"/>
        <rFont val="Times New Roman"/>
        <family val="1"/>
      </rPr>
      <t xml:space="preserve">
MAE US$ 242.222,42
GADPP US$ 107.070,00
CCRJ US$ 114.509,33
WFP US$ 13.419,84
</t>
    </r>
    <r>
      <rPr>
        <b/>
        <sz val="11"/>
        <color indexed="8"/>
        <rFont val="Times New Roman"/>
        <family val="1"/>
      </rPr>
      <t xml:space="preserve">2015 US$ 515.331,41
</t>
    </r>
    <r>
      <rPr>
        <sz val="11"/>
        <color indexed="8"/>
        <rFont val="Times New Roman"/>
        <family val="1"/>
      </rPr>
      <t>MAE US$ 292.989,16
GADPP US$ 85.156,86
CCRJ US$ 64.385,39
UN Women US$ 15.000,00
Local Governments US$ 39.800,00</t>
    </r>
  </si>
  <si>
    <t>PROCUREMENT DATA</t>
  </si>
  <si>
    <t>Please provide information for all contracts over $2.500 USD</t>
  </si>
  <si>
    <t>Please provide the number of  contracts under $2.500, signed during this reporting period:</t>
  </si>
  <si>
    <t>LIST OF CONTRACTS</t>
  </si>
  <si>
    <t>List all contracts related to the project/program with signature dates</t>
  </si>
  <si>
    <t>Contract Type</t>
  </si>
  <si>
    <t>Agency / Contracted party</t>
  </si>
  <si>
    <t>Contract Value/Amount (USD)</t>
  </si>
  <si>
    <t>Signature Date</t>
  </si>
  <si>
    <t>Payment to Date</t>
  </si>
  <si>
    <t>Remaining Balance</t>
  </si>
  <si>
    <t>SSA</t>
  </si>
  <si>
    <t xml:space="preserve">18 de mayo de 2015-15 de marzo de 2016 </t>
  </si>
  <si>
    <t>Goods</t>
  </si>
  <si>
    <t>PREFABRICATED CONCRETE BETANCOURT TACO CIA. LTDA.</t>
  </si>
  <si>
    <t>March 03, 2016</t>
  </si>
  <si>
    <t>PATHPROFIT S.A.</t>
  </si>
  <si>
    <t>June 21, 2016</t>
  </si>
  <si>
    <t>REPRESENTACIONES HIDROCENTRO CIA. LTDA.</t>
  </si>
  <si>
    <t>August 26, 2016</t>
  </si>
  <si>
    <t>GAD PP - MACCAFERRI S.A.Irrigation materials</t>
  </si>
  <si>
    <t>September 27, 2016</t>
  </si>
  <si>
    <t>September 28, 2016</t>
  </si>
  <si>
    <t>CCRJ - LUIS ALBERTO VINTIMILLA GONZÁLES, Selection of a professional for the design and construction of civil works of irrigation, for the corner Girón.</t>
  </si>
  <si>
    <t>CCRJ -JAPON MEDINA ANGEL POLIBIO, selection and hiring of labor for the construction of the irrigation systems of the Tenta parish, community of Cochapamba.</t>
  </si>
  <si>
    <t>CCRJ - DELGADO VERDUGO PABLO LEONARDO, Selection of a professional for the design and construction of civil works of irrigation, for the parishes of Tenta, Urdaneta and Guanazán.</t>
  </si>
  <si>
    <t>CCRJ -UCEM, acquisition of cement for the improvement of the irrigation systems of the Tenta, Urdaneta, Guanazán and Girón parishes, 87.72% of contract value is canceled, Special Regime process, carried out in the public procurement portal</t>
  </si>
  <si>
    <t>CCRJ - LUIS ALBERTO VALDEZ MOLINA, transport service of 1610 sacks of cement from the Guapán plant to the communities of the Tenta, Urdaneta, Guanazán and Giron parishes, as part of the implementation of the FORECCSA project.</t>
  </si>
  <si>
    <t>CCRJ - MENDIA ANGEL ROMAN, contracting carried out through the National System of Public Procurement, reverse electronic auction process.
March 16, 2016</t>
  </si>
  <si>
    <t>February 04, 2016</t>
  </si>
  <si>
    <t>Services</t>
  </si>
  <si>
    <t>August 1,2014</t>
  </si>
  <si>
    <t>WFP - GEOCONTROL SERVICIOS Y SUMINISTROS</t>
  </si>
  <si>
    <t>WFP - VASQUEZ BUESTAN WILSON GEOVANNY</t>
  </si>
  <si>
    <t>WFP - QUEZADA QUEZADA KARLA CRISTINA</t>
  </si>
  <si>
    <t>WFP - ESPINOZA ESPINOZA RENE LUCIANO</t>
  </si>
  <si>
    <t>WFP - SOLINAG CIA LTDA</t>
  </si>
  <si>
    <t>WFP - ALVARADO SANCHEZ JUAN PABLO</t>
  </si>
  <si>
    <t>WFP - CONSTRUCTORA VIPACAS CIA LTDA</t>
  </si>
  <si>
    <t>WFP - ECOLGY FARM CIA LTDA</t>
  </si>
  <si>
    <t>WFP - SILVA RIVERA JAIME ABDON</t>
  </si>
  <si>
    <t>WFP - ORTEGA SOJOS PEDRO LEONEL</t>
  </si>
  <si>
    <t>WFP - COINCAD</t>
  </si>
  <si>
    <t>WFP - JHON HENDRY VILLACIS VASQUEZ</t>
  </si>
  <si>
    <t>WFP - CAMAREN</t>
  </si>
  <si>
    <t>WFP - BUSTAMANTE DE LA TORRE WILSON FERNANDO</t>
  </si>
  <si>
    <t>WFP - BARRERA SANDOVAL JORGE ESTEBAN</t>
  </si>
  <si>
    <t>WFP - SARMIENTO PESANTEZ RICHARD ALFONSO</t>
  </si>
  <si>
    <t>WFP - ESPINOZA MOLINA VILMA LEONOR</t>
  </si>
  <si>
    <t>* Contract/MuO amounts verified with original documents. Documents are kept in each institution files. Project team has a copy of them.</t>
  </si>
  <si>
    <t>** Staff contracted by CCRJ and WFP under their HR rules and regulations.</t>
  </si>
  <si>
    <t>*** MUO signed by WFP is not considering procurement processes. The agreement was negotiated directly with institutions that demonstrated technical experience in the field.</t>
  </si>
  <si>
    <t>|</t>
  </si>
  <si>
    <t>BIDS</t>
  </si>
  <si>
    <t>List all bids for each contact signed with date of open call and winning bid</t>
  </si>
  <si>
    <t>CONTRACT &amp; Procurement Method</t>
  </si>
  <si>
    <t>Submitted Bids</t>
  </si>
  <si>
    <t>Bid Amount (USD)</t>
  </si>
  <si>
    <t>Winning Bid Amount (USD)</t>
  </si>
  <si>
    <t>Selection Justification for the Winner</t>
  </si>
  <si>
    <t>Three technical and economic offers were received for this procurement process. Thus: María del Mar Baños, María Monserrat Falconi and Elisabetha Maisto. The selection panel decides to open the economic offers of those candidates who, in the combined score, reach a minimum of 70% of the 70 possible points in the technical part, that is, 49 points.</t>
  </si>
  <si>
    <t>The economic offers of Maria del Mar Baños are opened for 18,000 usd and Maria Falconi for 19,200 usd.</t>
  </si>
  <si>
    <t>The selection panel, considering the CV, the technical proposal and the economic proposal, recommends the hiring of Maria Falconi for an amount of 19,200 USD, having obtained the highest technical-economic combined score.</t>
  </si>
  <si>
    <t>Procurement process done by GADPP through the procurement digital government system under method called Inverse Auction (Portal de Compras Públicas - Subasta Inversa). One bid was received and selected.</t>
  </si>
  <si>
    <t>GADPP Procurement of goods for conventional weather stations.
Procurement Method: Inverse Auction (Subasta Inversa)
Date of Call: April 01, 2016</t>
  </si>
  <si>
    <t>GEOCONTROL
SERVICIOS Y
SUMINISTROS
TÉCNICOS CIA. LTDA.</t>
  </si>
  <si>
    <t>GADPP Procurement of goods for the extension of secondary networks irrigation system comunitiy of Pitaná Bajo, Cangahua parish of the Cayambe canton. Procurement Method: Inverse Auction (Subasta Inversa)
Date of Call: May 05, 2016.</t>
  </si>
  <si>
    <t>REPRESENTACIONES
HIDROCENTRO CIA.
LTDA.</t>
  </si>
  <si>
    <t>JEREZ CUSTODE
MARCELO ALEJANDRO</t>
  </si>
  <si>
    <t>ASQUI ARMAS CARMEN
LOURDES</t>
  </si>
  <si>
    <t>PEREZ GAVILANES
ROBINZON HUMBERTO</t>
  </si>
  <si>
    <t>MEMKADISH SOCIEDAD
ANÓNIMA</t>
  </si>
  <si>
    <t>N/A</t>
  </si>
  <si>
    <t>TONELLO SOLUCIONES
INTEGRALES CIA. LTDA</t>
  </si>
  <si>
    <t>GADPP Procurement of goods to coat and protect the water reservoir for the community Larcapamba, Juan Montalvo parish, Cayambe canton. Procurement Method: Inverse Auction (Subasta Inversa)
Date of Call: July 12, 2016</t>
  </si>
  <si>
    <t>MACCAFERRI DE
ECUADOR S.A.</t>
  </si>
  <si>
    <t>Procurement process done by
GADPP through the procurement
digital government system under
method called Inverse Auction
(Portal de Compras Públicas -
Subasta Inversa).
Three bids were recieved. The
offeror made a reduction of 10%
and was contracted.</t>
  </si>
  <si>
    <t>TONELLO SOLUCIONES
INTEGRALES CIA. LTDA.</t>
  </si>
  <si>
    <t xml:space="preserve">LUIS ALBERTO VINTIMILLA </t>
  </si>
  <si>
    <t>Procurement process done by small amount, the best offer of the three presented (experience, cost, references and experience in similar works) is selected and that it suits the interests of the project and the contracting institution. In the month of June 2016 the final balance of the contract is canceled.</t>
  </si>
  <si>
    <t>DELGADO VERDUGO PABLO LEONARDO</t>
  </si>
  <si>
    <t>RAUL NARVAEZ</t>
  </si>
  <si>
    <t xml:space="preserve">Selection process by means of a small amount, for the hiring of labor for the construction and improvement of the irrigation systems of the parish Tenta.
Novembrer 30, 2015
</t>
  </si>
  <si>
    <t>JAPON MEDINA ANGEL POLIVIO</t>
  </si>
  <si>
    <t>Procurement process done by small amount, select the best offer of the three submitted and that suits the interests of the project and the contracting institution. In this period the outstanding balance of the contract is canceled.</t>
  </si>
  <si>
    <t>LAVANDA MOROCHO VICTOR</t>
  </si>
  <si>
    <t>JAPON GUAYLLAS ANGEL</t>
  </si>
  <si>
    <t>LUIS VINTIMILLA</t>
  </si>
  <si>
    <t>ZHIMINAICELA SUQUILANDA FRANKLIN</t>
  </si>
  <si>
    <t>UCEM</t>
  </si>
  <si>
    <t>LUIS ALBERTO VALDEZ MOLINA</t>
  </si>
  <si>
    <t xml:space="preserve">MESIAS VÁSQUEZ </t>
  </si>
  <si>
    <t>BYRON ZHAGNAY</t>
  </si>
  <si>
    <t>Public Procurement Process, Electronic Reverse Auction, for the acquisition of organic manure of chicken for the parishes of Shaglli and Chumblin.
August 31,   2015</t>
  </si>
  <si>
    <t>FLORES ASQUI MARCELO ARMANDO</t>
  </si>
  <si>
    <t>VAZQUEZ BUESTAN LUIS XAVIER</t>
  </si>
  <si>
    <t>Public Procurement Process, Electronic Reverse Auction, for acquisition of materials for the improvement of the irrigation systems of the Tenta, Urdaneta, Guanazán and Giron parishes.
August 12, 2015</t>
  </si>
  <si>
    <t>PALAGUACHI GUARTAN INÉS LUCÍA</t>
  </si>
  <si>
    <t>SARMIENTO JARRIN ANGEL RAMIRO</t>
  </si>
  <si>
    <t>DITECUENCA CIA. LTDA.</t>
  </si>
  <si>
    <t>AXL SA COMPAÑIA DE COMERCIO</t>
  </si>
  <si>
    <t>RODRIGUEZ MENESES RAQUEL ANDREA</t>
  </si>
  <si>
    <t>GONZALEZ GONZALEZ HOLGER RENAN</t>
  </si>
  <si>
    <t>Electronic Reverse Auction Process, made through the National Public Procurement System. The system chooses the winner of the process according to the best offer.
Juanary 25, 2016</t>
  </si>
  <si>
    <t>ENCALADA RHEA ROSA ELVIRA</t>
  </si>
  <si>
    <t>For failing to comply with the technical specifications requested in the bidding documents, the purchase is made through negotiation, as established in the Organic Law of Public Procurement.</t>
  </si>
  <si>
    <t>Electronic Reverse Auction Process, carried out through the National System of Public Procurement.
February 19, 2016</t>
  </si>
  <si>
    <t>MENDIA ANGEL ROMAN</t>
  </si>
  <si>
    <t>As there are no more qualified offers, we proceed to negotiation processes, as determined by Law.</t>
  </si>
  <si>
    <t>Process of Immediate Amount, according to the established in the Organic Law of Public Constratation, of the three existing offers the best offer is chosen.
March 16, 2016</t>
  </si>
  <si>
    <t>MORALES ANDRADE JORGE ALBERTO</t>
  </si>
  <si>
    <t>We opted for the offer whose prices and materials were in accordance with the requirements in the terms of reference sent by the technician responsible for the measure.</t>
  </si>
  <si>
    <t>ESPINOZA ORDOÑEZ MARIA BLANCA</t>
  </si>
  <si>
    <t>TECNIRIEGO</t>
  </si>
  <si>
    <t xml:space="preserve">TOLEDO LOPEZ EDGAR </t>
  </si>
  <si>
    <t>We opted for the offer whose prices and properties offered are adjusted to the constant requirements in the terms of reference. By not delivering all the products a 20% retention is made, therefore $ 2,400 was canceled. Equivalent to 80% of the contract.</t>
  </si>
  <si>
    <t>VINTIMILLA MARIA INÉS</t>
  </si>
  <si>
    <t>VASQUEZ FAREZ PATRICIA ALEXANDRA</t>
  </si>
  <si>
    <t>Memorandum of Understanding</t>
  </si>
  <si>
    <t>CIIFEN, Climatic Information System for Jubones</t>
  </si>
  <si>
    <t>By resolution of the national committee of the project, it was requested through MAE that WFP sign an agreement with CIFFEN for the development of the early warning system.</t>
  </si>
  <si>
    <t>WFP COMPETITIVE PROCESS</t>
  </si>
  <si>
    <t>OTIM</t>
  </si>
  <si>
    <t>The lowest priced supplier was selected</t>
  </si>
  <si>
    <t xml:space="preserve">GEOCONTROL
</t>
  </si>
  <si>
    <t>FREILE &amp; CO</t>
  </si>
  <si>
    <t>SOLINAG</t>
  </si>
  <si>
    <t>The two suppliers were selected because they offered the best prices. Solinag seeds and Vásquez Geovanny organic fertilizers.</t>
  </si>
  <si>
    <t>AGROSAD</t>
  </si>
  <si>
    <t>AGROVIGORSA</t>
  </si>
  <si>
    <t>VASQUEZ BUESTAN GEOVANNY</t>
  </si>
  <si>
    <t xml:space="preserve"> ESPINOZA RENE LUCIANO</t>
  </si>
  <si>
    <t>Only Espinoza René's offer was received</t>
  </si>
  <si>
    <t>QUEZADA KARLA CRISTINA</t>
  </si>
  <si>
    <t>RICHARD SARMIENTO</t>
  </si>
  <si>
    <t>AUSTRORIEGO</t>
  </si>
  <si>
    <t xml:space="preserve">COMERCIAL KIWI
</t>
  </si>
  <si>
    <t>ALVARADO JUAN PABLO</t>
  </si>
  <si>
    <t>CONSTRUCTORA VIPACAS</t>
  </si>
  <si>
    <t>CONSTRUCTORA AUSTRORIEGO</t>
  </si>
  <si>
    <t xml:space="preserve">ECOLGY FARM </t>
  </si>
  <si>
    <t>Only the Ecology farm offer was received</t>
  </si>
  <si>
    <t>SILVA RIVERA JAIME</t>
  </si>
  <si>
    <t>Vásquez Buestán Geovanny was selected because he offered all of the requested items and complied with the required technical specifications</t>
  </si>
  <si>
    <t>ORTEGA PEDRO</t>
  </si>
  <si>
    <t xml:space="preserve">Juan Pablo Alvarado was awarded the purchase of seeds for offering the lowest price in San Rafael de Sharug
 It was awarded to Geovanny Vásquez for offering the lowest price in fertilizer for the parish of San Rafael de Sharug.
Ecolgy farm awarded for offering the lowest plant price for San Rafael de - Pedro Ortega was awarded for offering the lowest price in plants for the parish of La Asuncion
  Solinag was awarded for offering the lowest price in fertilizer for the parish of La Asunción.
   Geovanny Vásquez was awarded for offering the lowest price in plants for the parish of La Asunción. </t>
  </si>
  <si>
    <t>GALO ROJAS</t>
  </si>
  <si>
    <t>COMPAÑÍA J&amp;L ASOCIADOS</t>
  </si>
  <si>
    <t>CARLOS ANDRES JARAMILLO</t>
  </si>
  <si>
    <t>It was awarded to John Villacis for offering the lowest price in fertilizer.
It was awarded to Juan Pablo Alvarado for bidding the lowest price on seeds.
It was awarded to Pedro Ortega for offering the lowest price in forest plants.
It was awarded to Rene Espinoza for fertar the lowest price in forest plants.</t>
  </si>
  <si>
    <t>VILLACIS JOHN</t>
  </si>
  <si>
    <t>ESPINOZA RENE</t>
  </si>
  <si>
    <t>ECOLGY FARM</t>
  </si>
  <si>
    <t>Ecology Farm was selected because it offered all of the requested items and complied with the required technical specifications</t>
  </si>
  <si>
    <t>AGROSERVICIOS DEL AUSTRO</t>
  </si>
  <si>
    <t>AGRONOMOS Y VETERINARIOS SIN FRONTERAS</t>
  </si>
  <si>
    <t>CEPP</t>
  </si>
  <si>
    <t>COINCAD</t>
  </si>
  <si>
    <t>ECOBIOTEC</t>
  </si>
  <si>
    <t>ECOPAR</t>
  </si>
  <si>
    <t>CORPORACIÓN RANDI RANDI</t>
  </si>
  <si>
    <t>CAMAREN</t>
  </si>
  <si>
    <t>WILSON BUSTAMANTE</t>
  </si>
  <si>
    <t>COMPAÑÍA J&amp;L</t>
  </si>
  <si>
    <t>Direct contract</t>
  </si>
  <si>
    <t>BARRERA SANDOVAL JORGE</t>
  </si>
  <si>
    <t>SARMIENTO PESANTEZ RICHARD</t>
  </si>
  <si>
    <t>Only the offer from this provider was received</t>
  </si>
  <si>
    <t>JATUNCUY</t>
  </si>
  <si>
    <t>SEÑOR CUY</t>
  </si>
  <si>
    <t>TADEC</t>
  </si>
  <si>
    <t>ANGEL MOROCHO/EL ALISAL</t>
  </si>
  <si>
    <t>ESPINOZA VILMA</t>
  </si>
  <si>
    <t>Supplier selected for offering all of the items requested</t>
  </si>
  <si>
    <t>VASQUEZ GEOVANNY</t>
  </si>
  <si>
    <t>MOROCHO ANGEL</t>
  </si>
  <si>
    <t>* All bids done by MAE and CCRJ used national rules and regulations.</t>
  </si>
  <si>
    <t>** Intercoperation bidding process was reported in PPR 2014. The contract is closed but as the products were not submitted on time, there were a penalty fee of $5.241,43</t>
  </si>
  <si>
    <t>RISK ASSESMENT</t>
  </si>
  <si>
    <t>IDENTIFIED RISKS</t>
  </si>
  <si>
    <t>List all Risks identified in project preparation phase and what  steps are being taken to mitigate them</t>
  </si>
  <si>
    <t>Identified Risk</t>
  </si>
  <si>
    <t>Current Status</t>
  </si>
  <si>
    <t>Steps Taken to Mitigate Risk</t>
  </si>
  <si>
    <t>Changes of local authorities within the Ecuadorian Government may determine possible changes in the national strategy for climate change.</t>
  </si>
  <si>
    <t xml:space="preserve">
Overcome</t>
  </si>
  <si>
    <t>Low</t>
  </si>
  <si>
    <t>Scientific and technical information in relation to climate change in Ecuador is insufficient, incomplete, and uncertain.</t>
  </si>
  <si>
    <t>Medium</t>
  </si>
  <si>
    <t>There is little local specialized management and technical capacity related to climate change, particularly in the entities that are responsible for the project. MAE identified among one of the major problems regarding adaptation to climate change, the lack of human technical resources.</t>
  </si>
  <si>
    <t>Regulatory setting is in discussion by Ecuador National Assembly, including a new law that regulates the use of hydro resources.</t>
  </si>
  <si>
    <t xml:space="preserve">Low </t>
  </si>
  <si>
    <t xml:space="preserve"> </t>
  </si>
  <si>
    <t>Weak local organizational structures, which may raise conflicts within and among local communities.</t>
  </si>
  <si>
    <t>MAE has pointed out the lack of local level information on many aspects of climate change.</t>
  </si>
  <si>
    <t>Critical Risks Affecting Progress (Not identified at project design)</t>
  </si>
  <si>
    <t>Identify Risks with a 50% or &gt; likelihood of affecting progress of project</t>
  </si>
  <si>
    <t>National start up processes for cooperation project in Ecuador take an extensive amount of time.</t>
  </si>
  <si>
    <t>Overcome</t>
  </si>
  <si>
    <t>The decision making process for this project is delayed due to the involvement of many stakeholders in project implementation.</t>
  </si>
  <si>
    <t>High</t>
  </si>
  <si>
    <t>Identified in 2014: The national policy of cooperation prevents cooperation resources cover the value added tax (IVA) to generate investment, quoted in the second paragraph of Article 73 of the Consolidated Law on Internal Taxation.</t>
  </si>
  <si>
    <t xml:space="preserve">Medium </t>
  </si>
  <si>
    <t xml:space="preserve">Identified at the end of the year 2016: National elections for president of Ecuador </t>
  </si>
  <si>
    <t>Risk Measures: Were there any risk mitigation measures employed during the current reporting period?  If so, were risks reduced?  If not, why were these risks not reduced?</t>
  </si>
  <si>
    <t>Add any comments relevant to risk mitigation (word limit = 500)</t>
  </si>
  <si>
    <t xml:space="preserve">RATING ON IMPLEMENTATION PROGRESS </t>
  </si>
  <si>
    <t>For rating definitions please see bottom of page.</t>
  </si>
  <si>
    <t>Progress on Key Milestones</t>
  </si>
  <si>
    <t>Expected Progress</t>
  </si>
  <si>
    <t>Progress to Date</t>
  </si>
  <si>
    <t>Rating</t>
  </si>
  <si>
    <t xml:space="preserve">Project Manager/Coordinator: </t>
  </si>
  <si>
    <t>Output 1.1.1. Parishes in targeted cantons trained in climate change threats and adaptation measures which reduce vulnerability, in particular related to food security</t>
  </si>
  <si>
    <t>All communities participated in initial training sessions</t>
  </si>
  <si>
    <t>Output 1.1.2. Targeted parishes participate in adaptation and risk reduction awareness activities</t>
  </si>
  <si>
    <t>Output 1.1.3. Food security and gender considerations integrated in all adaptation training programs</t>
  </si>
  <si>
    <t>Output 1.2.1. Local adaptation plans developed to reduce vulnerabilities to climate change induced food insecurity in targeted areas</t>
  </si>
  <si>
    <t>Parish adaptation plans prepared</t>
  </si>
  <si>
    <t>Output 1.2.2. Community participation in processes to develop adaptation plans in targeted parishes</t>
  </si>
  <si>
    <t>All parishes reached</t>
  </si>
  <si>
    <t>Output 1.2.3. Agreements developed and signed among targeted parishes, GADPP or CCRJ, MAE and WFP to implement adaptation actions</t>
  </si>
  <si>
    <t>All agreements reached to implement adaptation plans</t>
  </si>
  <si>
    <t>Output 1.2.4. Women participated in processes and decision making to develop adaptation plans</t>
  </si>
  <si>
    <t>Output 1.3.1. A climatic information system, including monitoring of climatic events, designed and implemented in each targeted areas in accordance with local context</t>
  </si>
  <si>
    <t>All early warning systems in place</t>
  </si>
  <si>
    <t>Output 1.3.2. Monitoring system to track project results and lessons learned</t>
  </si>
  <si>
    <t>Monitoring systems in place</t>
  </si>
  <si>
    <t>Output 2.1.1. Concrete adaptation measures based on parish adaptation plans are designed</t>
  </si>
  <si>
    <t>100% of adaptation measures planned</t>
  </si>
  <si>
    <t>Output 2.1.2. Adaptation to climate change measures (physical assets, natural assets and technologies) are implemented according with the parishes adaptation plans</t>
  </si>
  <si>
    <t>90% of asset created</t>
  </si>
  <si>
    <t>Output 2.1.3. Implementation strategy includes approach for the use of incentives</t>
  </si>
  <si>
    <t>Strategy developed
90% of incentives implemented</t>
  </si>
  <si>
    <t>Output 2.2.1. Community participation, in particular of women, guide decision making processes for project execution</t>
  </si>
  <si>
    <t>Feedback process implemented</t>
  </si>
  <si>
    <t>Output 2.2.2, Parishes share success stories and lessons learned</t>
  </si>
  <si>
    <t>Overall Rating</t>
  </si>
  <si>
    <t>Please Provide the Name and Contact information of person(s) responsible for completing the Rating section</t>
  </si>
  <si>
    <t>Diego Guzman, National Director for Climate Change Adaptation</t>
  </si>
  <si>
    <t>Please justify your rating.  Outline the positive and negative progress made by the project since it started.  Provide specific recommendations for next steps. . (word limit=500)</t>
  </si>
  <si>
    <t xml:space="preserve">Implementing Agency  </t>
  </si>
  <si>
    <t>MS</t>
  </si>
  <si>
    <t>Please Provide the Name and Contact information of person(s) reponsible for completeling the Rating section</t>
  </si>
  <si>
    <t>Carmen Galarza, WFP´s Programme Office and Project Administrator</t>
  </si>
  <si>
    <t>carmen.galarza@wfp.org</t>
  </si>
  <si>
    <t>Other</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</si>
  <si>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</si>
  <si>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Rating Definitions</t>
  </si>
  <si>
    <t>Highly Satisfactory (HS)</t>
  </si>
  <si>
    <r>
      <t xml:space="preserve">Project actions/activities planned for current reporting period are progressing on track or exceeding expectations to achieve </t>
    </r>
    <r>
      <rPr>
        <b/>
        <sz val="11"/>
        <color theme="1"/>
        <rFont val="Times New Roman"/>
        <family val="1"/>
      </rPr>
      <t>all</t>
    </r>
    <r>
      <rPr>
        <sz val="11"/>
        <color theme="1"/>
        <rFont val="Times New Roman"/>
        <family val="1"/>
      </rPr>
      <t xml:space="preserve">  major outcomes/outputs for given reporting period, without major shortcomings. The project can be presented as “good practice”.</t>
    </r>
  </si>
  <si>
    <t>Satisfactory (S)</t>
  </si>
  <si>
    <r>
      <t xml:space="preserve">Project actions/activities planned for current reporting period  are progressing on track to achieve </t>
    </r>
    <r>
      <rPr>
        <b/>
        <sz val="11"/>
        <color theme="1"/>
        <rFont val="Times New Roman"/>
        <family val="1"/>
      </rPr>
      <t>most</t>
    </r>
    <r>
      <rPr>
        <sz val="11"/>
        <color theme="1"/>
        <rFont val="Times New Roman"/>
        <family val="1"/>
      </rPr>
      <t xml:space="preserve"> of its major outcomes/outputs with only minor shortcomings.</t>
    </r>
  </si>
  <si>
    <t>Marginally Satisfactory (MS)</t>
  </si>
  <si>
    <r>
      <t xml:space="preserve">Project actions/activities planned for current reporting period  are progressing on track to achieve </t>
    </r>
    <r>
      <rPr>
        <b/>
        <sz val="11"/>
        <color theme="1"/>
        <rFont val="Times New Roman"/>
        <family val="1"/>
      </rPr>
      <t>most</t>
    </r>
    <r>
      <rPr>
        <sz val="11"/>
        <color theme="1"/>
        <rFont val="Times New Roman"/>
        <family val="1"/>
      </rPr>
      <t xml:space="preserve">   major relevant outcomes/outputs, </t>
    </r>
    <r>
      <rPr>
        <b/>
        <sz val="11"/>
        <color theme="1"/>
        <rFont val="Times New Roman"/>
        <family val="1"/>
      </rPr>
      <t>but</t>
    </r>
    <r>
      <rPr>
        <sz val="11"/>
        <color theme="1"/>
        <rFont val="Times New Roman"/>
        <family val="1"/>
      </rPr>
      <t xml:space="preserve"> with either significant shortcomings or modest overall relevance. </t>
    </r>
  </si>
  <si>
    <t>Marginally Unsatisfactory (MU)</t>
  </si>
  <si>
    <r>
      <t xml:space="preserve">Project actions/activities planned for current reporting period  are </t>
    </r>
    <r>
      <rPr>
        <b/>
        <sz val="11"/>
        <color theme="1"/>
        <rFont val="Times New Roman"/>
        <family val="1"/>
      </rPr>
      <t>not</t>
    </r>
    <r>
      <rPr>
        <sz val="11"/>
        <color theme="1"/>
        <rFont val="Times New Roman"/>
        <family val="1"/>
      </rPr>
      <t xml:space="preserve"> progressing on track to achieve  major outcomes/outputs with </t>
    </r>
    <r>
      <rPr>
        <b/>
        <sz val="11"/>
        <color theme="1"/>
        <rFont val="Times New Roman"/>
        <family val="1"/>
      </rPr>
      <t>major shortcomings</t>
    </r>
    <r>
      <rPr>
        <sz val="11"/>
        <color theme="1"/>
        <rFont val="Times New Roman"/>
        <family val="1"/>
      </rPr>
      <t xml:space="preserve"> or is expected to achieve only some of its major outcomes/outputs.</t>
    </r>
  </si>
  <si>
    <t>Unsatisfactory (U)</t>
  </si>
  <si>
    <r>
      <t xml:space="preserve">Project actions/activities planned for current reporting period  are </t>
    </r>
    <r>
      <rPr>
        <b/>
        <sz val="11"/>
        <color theme="1"/>
        <rFont val="Times New Roman"/>
        <family val="1"/>
      </rPr>
      <t>not</t>
    </r>
    <r>
      <rPr>
        <sz val="11"/>
        <color theme="1"/>
        <rFont val="Times New Roman"/>
        <family val="1"/>
      </rPr>
      <t xml:space="preserve"> progressing on track to achieve most of its major outcomes/outputs.</t>
    </r>
  </si>
  <si>
    <t>Highly Unsatisfactory (U)</t>
  </si>
  <si>
    <r>
      <t xml:space="preserve">Project actions/activities planned for current reporting period  are </t>
    </r>
    <r>
      <rPr>
        <b/>
        <sz val="11"/>
        <color theme="1"/>
        <rFont val="Times New Roman"/>
        <family val="1"/>
      </rPr>
      <t>not</t>
    </r>
    <r>
      <rPr>
        <sz val="11"/>
        <color theme="1"/>
        <rFont val="Times New Roman"/>
        <family val="1"/>
      </rPr>
      <t xml:space="preserve"> on track and shows that it is </t>
    </r>
    <r>
      <rPr>
        <b/>
        <sz val="11"/>
        <color theme="1"/>
        <rFont val="Times New Roman"/>
        <family val="1"/>
      </rPr>
      <t>failing</t>
    </r>
    <r>
      <rPr>
        <sz val="11"/>
        <color theme="1"/>
        <rFont val="Times New Roman"/>
        <family val="1"/>
      </rPr>
      <t xml:space="preserve"> to achieve, and is not expected to achieve, any of its outcomes/outputs.</t>
    </r>
  </si>
  <si>
    <t>PROJECT Indicators</t>
  </si>
  <si>
    <t>Please provide all indicators being tracked for the project as outlined in the project document</t>
  </si>
  <si>
    <t>Type of Indicator (indicators towards Objectives, Outcomes, etc…)</t>
  </si>
  <si>
    <t>Type of Indicator</t>
  </si>
  <si>
    <t>Indicator</t>
  </si>
  <si>
    <t>Baseline</t>
  </si>
  <si>
    <t>Progress since inception</t>
  </si>
  <si>
    <t>Target for Project End</t>
  </si>
  <si>
    <t>Impact</t>
  </si>
  <si>
    <t>Threat level to ecosystems, related to climate change effects</t>
  </si>
  <si>
    <t>Ecosystems rated as high vulnerability</t>
  </si>
  <si>
    <t>The vulnerability level of ecosystems in the project area, are rated as medium</t>
  </si>
  <si>
    <t>Household consumption score</t>
  </si>
  <si>
    <t>Food consumption less than 30 for 80% of population</t>
  </si>
  <si>
    <t>Food consumption score improves (&gt; 35/40) for all targeted participants</t>
  </si>
  <si>
    <t>Outcome 1.1.</t>
  </si>
  <si>
    <t>Number of adaptation plans implemented at the parish level, and incorporated in the local development plan</t>
  </si>
  <si>
    <t>No parish adaptation plans under development</t>
  </si>
  <si>
    <t>50 parishes (37 parishes for the Jubones and 13 for Pichincha) develop adaptation plans to climate change risk, in a participatory process</t>
  </si>
  <si>
    <t>Output 1.1.1</t>
  </si>
  <si>
    <t>Number of targeted population aware of climate change impacts and appropriate responses to threats</t>
  </si>
  <si>
    <t>Limited knowledge by vulnerable parishes in the adaptation measures to reduce food insecurity</t>
  </si>
  <si>
    <t>At least one family member out of 15,000 households have knowledge of climate threats and adaptation measures</t>
  </si>
  <si>
    <t>Output 1.1.2</t>
  </si>
  <si>
    <t>Awareness raised at community level of climate change threats</t>
  </si>
  <si>
    <t>Limited awareness by parishes of climate threats and local responses</t>
  </si>
  <si>
    <t>By the end of the project at least 30% of households (4,500) perceive to have increase their awareness on climate change threats through two awareness campaigns (one for the CCRJ and one for GADPP) which have been established and implemented</t>
  </si>
  <si>
    <t>Output 1.1.3</t>
  </si>
  <si>
    <t>Food security training plan integrated within the adaptation training programs, with gender considerations.</t>
  </si>
  <si>
    <t>Neither adaptation plans have integrated food security component, nor any development plans</t>
  </si>
  <si>
    <t>Outcome 1.2</t>
  </si>
  <si>
    <t>Number of planning frameworks at local level include change adaptation considerations</t>
  </si>
  <si>
    <t>Each of the targeted local government has a development plan, that includes environmental issues, but it does not include adaptation measures</t>
  </si>
  <si>
    <t>All the targeted local government have incorporated climate change variability and adaptation considerations</t>
  </si>
  <si>
    <t>Number of parishes with adaptation plans aligned with local and provincial priorities</t>
  </si>
  <si>
    <t>Each local government by law must have a development plan. These plans include environmental issues</t>
  </si>
  <si>
    <t>50 parishes have developed their adaptation plans, aligned with local and provincial priorities, are used as a decision making tool</t>
  </si>
  <si>
    <t>Number of adaptation plans, developed with community participation.</t>
  </si>
  <si>
    <t>There are no climate change adaptation plans developed with active community participation</t>
  </si>
  <si>
    <t xml:space="preserve">50 parishes have participated in the adaptation plan development, with  50% of women in parishes participating </t>
  </si>
  <si>
    <t>Output 1.2.1.</t>
  </si>
  <si>
    <t>Number of local adaptation plans with a vulnerability reduction and food security approach</t>
  </si>
  <si>
    <t>There are no adaptation plans for targeted parishes with this focus</t>
  </si>
  <si>
    <t>All targeted parishes (50) have adaptation plans which incorporate vulnerability reduction and food security solutions</t>
  </si>
  <si>
    <t>Output 1.2.2.</t>
  </si>
  <si>
    <t>Number of parishes and community leaders that participate in the process to develop adaptation plans</t>
  </si>
  <si>
    <t>There are no adaptation plans developed with community participation.</t>
  </si>
  <si>
    <t>50 parishes, including leaders and citizens have actively participated in the adaptation plans development</t>
  </si>
  <si>
    <t>Output 1.2.3.</t>
  </si>
  <si>
    <t>Number of institutions that establish agreements to manage adverse climate change events</t>
  </si>
  <si>
    <t>No agreements in the targeted project area.</t>
  </si>
  <si>
    <t>At least six agreements signed between interested parties (GADPP, CCRJ, MAE, UNWomen, WFP)  to manage adverse climate change events.
50 parishes sign letter of commitments for the implementation of adaptation measures</t>
  </si>
  <si>
    <t>Output 1.2.4.</t>
  </si>
  <si>
    <t>Number of women that are community leaders with an actively participation in adaptation plans development, and decision making processes</t>
  </si>
  <si>
    <t>Limited participation of women and limited decision making roles</t>
  </si>
  <si>
    <t>Women (at least 40%) involved in decision making in all parishes</t>
  </si>
  <si>
    <t>Outcome 1.3.</t>
  </si>
  <si>
    <t>Disaster preparedness score</t>
  </si>
  <si>
    <t>Limited disaster preparedness knowledge in local governments of targeted parishes</t>
  </si>
  <si>
    <t>Disaster preparedness score equal to or greater than 7, indicating local government capacity in disaster preparedness ad food security information with WFP support</t>
  </si>
  <si>
    <t>Percentage of climatic information systems that meet national and/or international meteorological standards that are used on place</t>
  </si>
  <si>
    <t>No climatic information systems to cope with main disasters on place</t>
  </si>
  <si>
    <t>Systems in place to cover targeted parishes (50) so they take appropriate response actions following protocols</t>
  </si>
  <si>
    <t>Output 1.3.1.</t>
  </si>
  <si>
    <t xml:space="preserve">Number of climatic information systems in place
</t>
  </si>
  <si>
    <t>A climatic information system and climatic meteorological stations, including monitoring of climatic events, are designed and implemented in targeted areas covering needs of 50 targeted parishes</t>
  </si>
  <si>
    <t>Number of vulnerable parish that use data from the climatic information system</t>
  </si>
  <si>
    <t>No parishes  receive climatic data</t>
  </si>
  <si>
    <t>Output 1.3.2.</t>
  </si>
  <si>
    <t>A project results and lessons learned monitoring system</t>
  </si>
  <si>
    <t>No monitoring system</t>
  </si>
  <si>
    <t>A monitoring system is designed and implemented to track project
A document with project lesson learned and validated models to be replicated is developed</t>
  </si>
  <si>
    <t>Outcome 2.1.</t>
  </si>
  <si>
    <t>Community adaptation asset score (natural and physical)</t>
  </si>
  <si>
    <t>No adaptive capacity is implemented in the targeted rural parishes</t>
  </si>
  <si>
    <t>50 parishes have reduced their risk and implemented adaptation measures
Asset score threshold set to capture increase (created or restored) in community adaptation assets over base level communities</t>
  </si>
  <si>
    <t>Percentage of households in targeted parishes with increased capacity to manage climate risk desegregated by gender</t>
  </si>
  <si>
    <t>Initial survey of targeted households</t>
  </si>
  <si>
    <t>At least one member of each targeted household has received training and increased their understanding of climate risk and management 
50% of the household participants are women</t>
  </si>
  <si>
    <t>Output 2.1.1.</t>
  </si>
  <si>
    <t>Number of parishes that have designed and approved concrete adaptation measures</t>
  </si>
  <si>
    <t>No community activities for climate change adaptation identified and designed the targeted rural parishes</t>
  </si>
  <si>
    <t>Output 2.1.2.</t>
  </si>
  <si>
    <t>Number of adaptation measures (physical assets, natural assets and technologies) implemented at parish level according with vulnerability analysis and adaptation plans</t>
  </si>
  <si>
    <t>Limited number of physical assets, natural assets and technologies in place to face or adapt to climate events</t>
  </si>
  <si>
    <t>50 parishes implemented adaptation measures (physical assets, natural assets, technologies) according to parishes plans.</t>
  </si>
  <si>
    <t>Output 2.1.3.</t>
  </si>
  <si>
    <t>Number of parishes where families receive incentives to implement physical/natural resources assets</t>
  </si>
  <si>
    <t>Incentives has not been implemented before in the targeted project area</t>
  </si>
  <si>
    <t>At least 30% of parishes uses incentives to support adaptation measures implementation.</t>
  </si>
  <si>
    <t>Outcome 2.2.</t>
  </si>
  <si>
    <t>Coordination mechanisms among parishes, cantons and/or provincial governments in place</t>
  </si>
  <si>
    <t>Limited coordination among the main involved institutions to implement the adaptation measures</t>
  </si>
  <si>
    <t>There is a  letter of interest among all the involved entities to manage jointly climate change risks in the targeted parishes.</t>
  </si>
  <si>
    <t>Percentage of local governments and key stakeholders at national, provincial and local level that access project´s climate change relevant information</t>
  </si>
  <si>
    <t>Climate change and variability information is insufficient and not up-dated
Access is limited</t>
  </si>
  <si>
    <t>At least 60% of project stakeholders are able to access to up-dated information</t>
  </si>
  <si>
    <t>Output 2.2.1.</t>
  </si>
  <si>
    <t>Parishes agree and support with decisions taken</t>
  </si>
  <si>
    <t>Limited community participation on decision making processes</t>
  </si>
  <si>
    <t>All of the proposed activities in the project have a participatory implementation strategy
50% of the participants are women.</t>
  </si>
  <si>
    <t>Output 2.2.2.</t>
  </si>
  <si>
    <t>Number of workshops to disseminate de information</t>
  </si>
  <si>
    <t>No documented information available</t>
  </si>
  <si>
    <t>Each of the targeted parishes has by the end of the project documented their experience the lessons learn in at least one event.</t>
  </si>
  <si>
    <t>Number of visits to other parishes, not targeted in this project, to disseminate the information</t>
  </si>
  <si>
    <t>No visits have been carried out</t>
  </si>
  <si>
    <t>At least two exchange of experiences programs in each targeted area are carried out documented</t>
  </si>
  <si>
    <t xml:space="preserve">Results Tracker for Adaptation Fund (AF)  Projects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</si>
  <si>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</si>
  <si>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</si>
  <si>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Link: http://www.adaptation-fund.org/sites/default/files/Results%20Framework%20and%20Baseline%20Guidance%20final.pdf</t>
  </si>
  <si>
    <t>Adaptation Fund Strategic Results Framework</t>
  </si>
  <si>
    <t>Project ID</t>
  </si>
  <si>
    <t>WFP</t>
  </si>
  <si>
    <t>Type of implementing entity</t>
  </si>
  <si>
    <t>MIE</t>
  </si>
  <si>
    <t>Country</t>
  </si>
  <si>
    <t>Region</t>
  </si>
  <si>
    <t>Latin America and Caribbean</t>
  </si>
  <si>
    <t>Sector</t>
  </si>
  <si>
    <t>Food security</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</si>
  <si>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</si>
  <si>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</si>
  <si>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</si>
  <si>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</si>
  <si>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</si>
  <si>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</si>
  <si>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</si>
  <si>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</si>
  <si>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</si>
  <si>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</si>
  <si>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</si>
  <si>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</si>
  <si>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</si>
  <si>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</si>
  <si>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</si>
  <si>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</si>
  <si>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Drought</t>
  </si>
  <si>
    <t>1: Ineffective</t>
  </si>
  <si>
    <t>4: Effective</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</si>
  <si>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</si>
  <si>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</si>
  <si>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</si>
  <si>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</si>
  <si>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</si>
  <si>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</si>
  <si>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Local</t>
  </si>
  <si>
    <t>3: Risk and vulnterability assessments completed or updated</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</si>
  <si>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</si>
  <si>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</si>
  <si>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</si>
  <si>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</si>
  <si>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</si>
  <si>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3: Dissemination and communication</t>
  </si>
  <si>
    <t>Geographical coverage</t>
  </si>
  <si>
    <t>Number of municipalities</t>
  </si>
  <si>
    <t>1: Risk knowledge</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</si>
  <si>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</si>
  <si>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</si>
  <si>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</si>
  <si>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</si>
  <si>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1: No capacity</t>
  </si>
  <si>
    <t>4: High capacity</t>
  </si>
  <si>
    <t>2: Low capacity</t>
  </si>
  <si>
    <t>3: Medium capacity</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</si>
  <si>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</si>
  <si>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</si>
  <si>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</si>
  <si>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</si>
  <si>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</si>
  <si>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Public</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</si>
  <si>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</si>
  <si>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</si>
  <si>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</si>
  <si>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</si>
  <si>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</si>
  <si>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Indicator 3.1.1: Percentage of targeted population awareness of predicted adverse impacts of climate change, and of appropriate responses</t>
  </si>
  <si>
    <t>No. of targeted beneficiaries</t>
  </si>
  <si>
    <t>% of female participants targeted</t>
  </si>
  <si>
    <t>Level of awareness</t>
  </si>
  <si>
    <t>1: Aware of neither</t>
  </si>
  <si>
    <t>4: Mostly aware</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</si>
  <si>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</si>
  <si>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</si>
  <si>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</si>
  <si>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</si>
  <si>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</si>
  <si>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1: Non responsive (Lacks all elements )</t>
  </si>
  <si>
    <t>4: Mostly responsive (Most defined elements)</t>
  </si>
  <si>
    <r>
      <rPr>
        <b/>
        <u/>
        <sz val="11"/>
        <color theme="1"/>
        <rFont val="Calibri"/>
        <family val="2"/>
        <scheme val="minor"/>
      </rPr>
      <t>Core Indicator</t>
    </r>
    <r>
      <rPr>
        <sz val="11"/>
        <color theme="1"/>
        <rFont val="Calibri"/>
        <family val="2"/>
        <scheme val="minor"/>
      </rPr>
      <t xml:space="preserve"> 4.2: Assets produced, developed, improved or strengthened</t>
    </r>
  </si>
  <si>
    <t>Targeted asset</t>
  </si>
  <si>
    <t>Changes in asset (quantitative or qualitative)</t>
  </si>
  <si>
    <t>2: Physical asset (produced/improved/strenghtened)</t>
  </si>
  <si>
    <t>5: Fully improved</t>
  </si>
  <si>
    <t>Output 4: Vulnerable development sector services and infrastructure assets strengthened in response to climate change impacts, including variability</t>
  </si>
  <si>
    <t>Indicator 4.1.1: No. and type of development sector services to respond to new conditions resulting from climate variability and change</t>
  </si>
  <si>
    <t>Number of services</t>
  </si>
  <si>
    <t>Local Climate Information System - Jubones Basin</t>
  </si>
  <si>
    <t>Local Climate Infomation System - Jubones Basin</t>
  </si>
  <si>
    <t>Weather Stations incorporeted within Meteorological Network</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</si>
  <si>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</si>
  <si>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</si>
  <si>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</si>
  <si>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land</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</si>
  <si>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</si>
  <si>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</si>
  <si>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</si>
  <si>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</si>
  <si>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</si>
  <si>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</si>
  <si>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Catchment area/Watershed/Aquifer</t>
  </si>
  <si>
    <t>km rehabilitated</t>
  </si>
  <si>
    <t>2: Partially effective</t>
  </si>
  <si>
    <t>Cultivated land/Agricultural land</t>
  </si>
  <si>
    <t>ha rehabilitated</t>
  </si>
  <si>
    <t>5: Very effective</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</si>
  <si>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</si>
  <si>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</si>
  <si>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</si>
  <si>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</si>
  <si>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</si>
  <si>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</si>
  <si>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1: No improvement</t>
  </si>
  <si>
    <t>3: Moderate improvement</t>
  </si>
  <si>
    <t>Indicator 6.2: Increase in targeted population's sustained climate-resilient alternative livelihoods</t>
  </si>
  <si>
    <t>% increase in income level vis-à-vis baseline</t>
  </si>
  <si>
    <t>Alternate Source</t>
  </si>
  <si>
    <t>Agriculture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</si>
  <si>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</si>
  <si>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</si>
  <si>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</si>
  <si>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</si>
  <si>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</si>
  <si>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t>Physical capital</t>
  </si>
  <si>
    <t>Community-based adaptation</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</si>
  <si>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</si>
  <si>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</si>
  <si>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</si>
  <si>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</si>
  <si>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</si>
  <si>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</si>
  <si>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</si>
  <si>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1: None</t>
  </si>
  <si>
    <t>4: Most</t>
  </si>
  <si>
    <t>2: Most not integrated</t>
  </si>
  <si>
    <t>Output 7:Improved integration of climate-resilience strategies into country development plans</t>
  </si>
  <si>
    <t>Indicator 7.1: No. of policies introduced or adjusted to address climate change risks</t>
  </si>
  <si>
    <t>No. of Policies introduced or adjusted</t>
  </si>
  <si>
    <t>National</t>
  </si>
  <si>
    <t>Environmental policy</t>
  </si>
  <si>
    <t>Indicator 7.2: No. of targeted development strategies with incorporated climate change priorities enforced</t>
  </si>
  <si>
    <t>No. of Development strategies</t>
  </si>
  <si>
    <t>Regulation</t>
  </si>
  <si>
    <t>Effectiveness</t>
  </si>
  <si>
    <t>1: Not enforced (No elements implemented)</t>
  </si>
  <si>
    <t>4: Enforced (Most elements implemented)</t>
  </si>
  <si>
    <t>2: Partially not enforced (Most elements not implemented)</t>
  </si>
  <si>
    <t>3: Moderately effective</t>
  </si>
  <si>
    <t xml:space="preserve"> Fund Outcome Indicator Units</t>
  </si>
  <si>
    <t>Fund Output Indicator Units</t>
  </si>
  <si>
    <r>
      <rPr>
        <b/>
        <sz val="11"/>
        <color theme="1"/>
        <rFont val="Times New Roman"/>
        <family val="1"/>
      </rPr>
      <t>1.1.</t>
    </r>
    <r>
      <rPr>
        <sz val="11"/>
        <color theme="1"/>
        <rFont val="Times New Roman"/>
        <family val="1"/>
      </rPr>
      <t xml:space="preserve">  Number, sector(s) and level(s) of projects or interventions in separate fields of monitoring plan                                                                                  </t>
    </r>
    <r>
      <rPr>
        <b/>
        <sz val="11"/>
        <color theme="1"/>
        <rFont val="Times New Roman"/>
        <family val="1"/>
      </rPr>
      <t xml:space="preserve">1.2. </t>
    </r>
    <r>
      <rPr>
        <sz val="11"/>
        <color theme="1"/>
        <rFont val="Times New Roman"/>
        <family val="1"/>
      </rPr>
      <t xml:space="preserve">Number
</t>
    </r>
    <r>
      <rPr>
        <b/>
        <sz val="11"/>
        <color theme="1"/>
        <rFont val="Times New Roman"/>
        <family val="1"/>
      </rPr>
      <t>2.1.1.</t>
    </r>
    <r>
      <rPr>
        <sz val="11"/>
        <color theme="1"/>
        <rFont val="Times New Roman"/>
        <family val="1"/>
      </rPr>
      <t xml:space="preserve"> Number of staff (male/female) of targeted institutions: a. Obtain baseline information: total number of staff from targeted institutions b. Define target
</t>
    </r>
    <r>
      <rPr>
        <b/>
        <sz val="11"/>
        <color theme="1"/>
        <rFont val="Times New Roman"/>
        <family val="1"/>
      </rPr>
      <t>2.1.2.</t>
    </r>
    <r>
      <rPr>
        <sz val="11"/>
        <color theme="1"/>
        <rFont val="Times New Roman"/>
        <family val="1"/>
      </rPr>
      <t xml:space="preserve"> Number of staff (male/female) of targeted institutions: a. Obtain baseline information: total number of staff from targeted institutions b. Define target: needs to be defined by project proponents
</t>
    </r>
    <r>
      <rPr>
        <b/>
        <sz val="11"/>
        <color theme="1"/>
        <rFont val="Times New Roman"/>
        <family val="1"/>
      </rPr>
      <t xml:space="preserve">2.2.1. </t>
    </r>
    <r>
      <rPr>
        <i/>
        <sz val="11"/>
        <color theme="1"/>
        <rFont val="Times New Roman"/>
        <family val="1"/>
      </rPr>
      <t>Quantitative:</t>
    </r>
    <r>
      <rPr>
        <sz val="11"/>
        <color theme="1"/>
        <rFont val="Times New Roman"/>
        <family val="1"/>
      </rPr>
      <t xml:space="preserve"> Percentage (includes women – and other vulnerable groups – and men).
</t>
    </r>
    <r>
      <rPr>
        <i/>
        <sz val="11"/>
        <color theme="1"/>
        <rFont val="Times New Roman"/>
        <family val="1"/>
      </rPr>
      <t>Qualitative:</t>
    </r>
    <r>
      <rPr>
        <sz val="11"/>
        <color theme="1"/>
        <rFont val="Times New Roman"/>
        <family val="1"/>
      </rPr>
      <t xml:space="preserve"> Adequacy: include direct analysis of major areas; adequacy/effectiveness of systems or analysis of perceptions of populations and institutions.</t>
    </r>
    <r>
      <rPr>
        <b/>
        <sz val="11"/>
        <color theme="1"/>
        <rFont val="Times New Roman"/>
        <family val="1"/>
      </rPr>
      <t xml:space="preserve">
2.2.2.</t>
    </r>
    <r>
      <rPr>
        <sz val="11"/>
        <color theme="1"/>
        <rFont val="Times New Roman"/>
        <family val="1"/>
      </rPr>
      <t xml:space="preserve"> Number (broken down by gender and, if possible, by vulnerable groups defined in the area of intervention) of people                                                                                                        </t>
    </r>
    <r>
      <rPr>
        <b/>
        <sz val="11"/>
        <color theme="1"/>
        <rFont val="Times New Roman"/>
        <family val="1"/>
      </rPr>
      <t xml:space="preserve">3.1. </t>
    </r>
    <r>
      <rPr>
        <sz val="11"/>
        <color theme="1"/>
        <rFont val="Times New Roman"/>
        <family val="1"/>
      </rPr>
      <t xml:space="preserve">Number and type (in separate columns) at local level.                                                                                                                                    </t>
    </r>
    <r>
      <rPr>
        <b/>
        <sz val="11"/>
        <color theme="1"/>
        <rFont val="Times New Roman"/>
        <family val="1"/>
      </rPr>
      <t xml:space="preserve">3.2. </t>
    </r>
    <r>
      <rPr>
        <sz val="11"/>
        <color theme="1"/>
        <rFont val="Times New Roman"/>
        <family val="1"/>
      </rPr>
      <t xml:space="preserve">Number                                                                                                                                                                                                                                     </t>
    </r>
    <r>
      <rPr>
        <b/>
        <sz val="11"/>
        <color theme="1"/>
        <rFont val="Times New Roman"/>
        <family val="1"/>
      </rPr>
      <t>4.1.</t>
    </r>
    <r>
      <rPr>
        <sz val="11"/>
        <color theme="1"/>
        <rFont val="Times New Roman"/>
        <family val="1"/>
      </rPr>
      <t xml:space="preserve"> Number and type                                                                                                                                                                                                               </t>
    </r>
    <r>
      <rPr>
        <b/>
        <sz val="11"/>
        <color theme="1"/>
        <rFont val="Times New Roman"/>
        <family val="1"/>
      </rPr>
      <t xml:space="preserve">4. 2. </t>
    </r>
    <r>
      <rPr>
        <sz val="11"/>
        <color theme="1"/>
        <rFont val="Times New Roman"/>
        <family val="1"/>
      </rPr>
      <t xml:space="preserve"> Number and type (entered in separate columns)                                                                                                                                                     </t>
    </r>
    <r>
      <rPr>
        <b/>
        <sz val="11"/>
        <color theme="1"/>
        <rFont val="Times New Roman"/>
        <family val="1"/>
      </rPr>
      <t>5.</t>
    </r>
    <r>
      <rPr>
        <sz val="11"/>
        <color theme="1"/>
        <rFont val="Times New Roman"/>
        <family val="1"/>
      </rPr>
      <t xml:space="preserve">  Number of interventions by type of natural asset and intervention                                                                                                                    </t>
    </r>
    <r>
      <rPr>
        <b/>
        <sz val="11"/>
        <color theme="1"/>
        <rFont val="Times New Roman"/>
        <family val="1"/>
      </rPr>
      <t>6.1.</t>
    </r>
    <r>
      <rPr>
        <sz val="11"/>
        <color theme="1"/>
        <rFont val="Times New Roman"/>
        <family val="1"/>
      </rPr>
      <t xml:space="preserve">  Number and type (in separate columns of monitoring plan)                                                                                                                                                                                                                                                    </t>
    </r>
    <r>
      <rPr>
        <b/>
        <sz val="11"/>
        <color theme="1"/>
        <rFont val="Times New Roman"/>
        <family val="1"/>
      </rPr>
      <t xml:space="preserve">6.2. </t>
    </r>
    <r>
      <rPr>
        <sz val="11"/>
        <color theme="1"/>
        <rFont val="Times New Roman"/>
        <family val="1"/>
      </rPr>
      <t xml:space="preserve">Income sources per household; description of income source and number of households.                                                                                                                                                                                                                                                     </t>
    </r>
    <r>
      <rPr>
        <b/>
        <sz val="11"/>
        <color theme="1"/>
        <rFont val="Times New Roman"/>
        <family val="1"/>
      </rPr>
      <t xml:space="preserve">7.1. </t>
    </r>
    <r>
      <rPr>
        <sz val="11"/>
        <color theme="1"/>
        <rFont val="Times New Roman"/>
        <family val="1"/>
      </rPr>
      <t xml:space="preserve"> Number/Sector                                                                                                                                                                                                                                                   </t>
    </r>
    <r>
      <rPr>
        <b/>
        <sz val="11"/>
        <color theme="1"/>
        <rFont val="Times New Roman"/>
        <family val="1"/>
      </rPr>
      <t xml:space="preserve">7.2. </t>
    </r>
    <r>
      <rPr>
        <sz val="11"/>
        <color theme="1"/>
        <rFont val="Times New Roman"/>
        <family val="1"/>
      </rPr>
      <t>Number; Effectiveness (see previous indicator) through enforcement level.</t>
    </r>
  </si>
  <si>
    <t>ANNEX 1 - LIST OF PRODUCTS</t>
  </si>
  <si>
    <t>Document</t>
  </si>
  <si>
    <t>Date of Publishing</t>
  </si>
  <si>
    <t>Gender Mainstreaming Strategy</t>
  </si>
  <si>
    <t>January 2013</t>
  </si>
  <si>
    <t>Capacity Development Strategy</t>
  </si>
  <si>
    <t>April 2013</t>
  </si>
  <si>
    <t>Case Studies on Gender Assessment</t>
  </si>
  <si>
    <t>July 2013</t>
  </si>
  <si>
    <t>Adapted Methodology for Vulnerability Analysis</t>
  </si>
  <si>
    <t>November 2013</t>
  </si>
  <si>
    <t>WFP Project Theory of Change</t>
  </si>
  <si>
    <t>Baseline Scenario</t>
  </si>
  <si>
    <t>February 2014</t>
  </si>
  <si>
    <t>Executive summary of vulnerability studies conducted in the Jubones River Basin and Pichincha Province</t>
  </si>
  <si>
    <t>April 2014</t>
  </si>
  <si>
    <t>Profiles of climate change adaptation measures with focus on food security for 33 parishes</t>
  </si>
  <si>
    <t>May 2014</t>
  </si>
  <si>
    <t>Monitoring and Evaluation Plan for the project "Enhancing Resilience of Communities to the adverse effects of climate change on food security in Pichincha Province and the Jubones River Basic"</t>
  </si>
  <si>
    <t>July 2014</t>
  </si>
  <si>
    <t>Design of the Awareness Campaign for climate change, food security, and gender for the Jubones River Basin</t>
  </si>
  <si>
    <t>August 2014</t>
  </si>
  <si>
    <t>Design of Weather Stations System in the cantons of Cayambe and Pedro Moncayo (Pichincha)</t>
  </si>
  <si>
    <t>October 2014</t>
  </si>
  <si>
    <t>Methodology for Vulnerability Study</t>
  </si>
  <si>
    <t>Vulnerability Studies for 45 parishes</t>
  </si>
  <si>
    <t>November 2014</t>
  </si>
  <si>
    <t>Adaptation Plans for 45 parishes</t>
  </si>
  <si>
    <t>Diagnostic assessment of the Climate Alert System for food security of the Jubones River Basin</t>
  </si>
  <si>
    <t xml:space="preserve">Adaptation measures approved for 8 parishes (7 in the Jubones River Basin and 1 in Pichincha) </t>
  </si>
  <si>
    <t>Second semester of 2014</t>
  </si>
  <si>
    <t>Four local radio programs on climate change, food security and gender</t>
  </si>
  <si>
    <t>January 2015</t>
  </si>
  <si>
    <t>Training plan on climate change, food security and gender for Pichincha province</t>
  </si>
  <si>
    <t>February 2015</t>
  </si>
  <si>
    <t>Report of Awareness Campaign for climate change, food security, and gender for the Jubones River Basin</t>
  </si>
  <si>
    <t>Fisrt quarter of 2015</t>
  </si>
  <si>
    <t>Design of the Climate Alert System for food security of the Jubones River Bain</t>
  </si>
  <si>
    <t xml:space="preserve">Trainning Plan to implement the Climate Alert System for food security of the Jubones River Basin </t>
  </si>
  <si>
    <t>June 2015</t>
  </si>
  <si>
    <t>Gender Training Plan for project staff and local technicians</t>
  </si>
  <si>
    <t>Gender Baseline Study for the Jubones River Basin</t>
  </si>
  <si>
    <t>August 2015</t>
  </si>
  <si>
    <t>Methodology for an operational research to analyze effects of the applicationof gender mainstraming tools.</t>
  </si>
  <si>
    <t>September 2015</t>
  </si>
  <si>
    <t>Methodology to include gender maintraimng in the adaptation to climatechange measures</t>
  </si>
  <si>
    <t>Gender Monitoring Plan (indicators and tools)</t>
  </si>
  <si>
    <t>Design of triptychs and other promotional material for FORECCSA Project</t>
  </si>
  <si>
    <t xml:space="preserve"> November 2015</t>
  </si>
  <si>
    <t>Sistematization of training results including analysis of behaivior changes</t>
  </si>
  <si>
    <t>December 2015</t>
  </si>
  <si>
    <t>Vulnerability Assessment of Food Security due to Climate Change in the Jubones River Basin</t>
  </si>
  <si>
    <t xml:space="preserve">Adaptation measures approved for 26 parishes (17 in the Jubones River Basin and 9 in Pichincha) </t>
  </si>
  <si>
    <t>All 2015</t>
  </si>
  <si>
    <t>Climate analysis that includes a Climate Alert System module for the Jubones River Basin  (data and forecast)</t>
  </si>
  <si>
    <t>April 2016</t>
  </si>
  <si>
    <t xml:space="preserve">Traditional Andean cookbook </t>
  </si>
  <si>
    <t>May 2016</t>
  </si>
  <si>
    <t>Information and communication module for the Climate Alert System of the Jubones river basin</t>
  </si>
  <si>
    <t>September 2016</t>
  </si>
  <si>
    <t>Testimonal video of FORECCSA projetc</t>
  </si>
  <si>
    <t>November 2016</t>
  </si>
  <si>
    <t xml:space="preserve">Video with technical information about FORECCSA project </t>
  </si>
  <si>
    <t>Four pager FORECCSA Project, WFP, first issue: October 2015 (updated quarterly, last update October 2016)</t>
  </si>
  <si>
    <t>Training plan based on adaptation measures of eight typologies implemented in the Jubones river basin</t>
  </si>
  <si>
    <t>Design of a proposal based on incentives to reinforce food security and gender considerations in the implementation of adaptation measures of Jubones river basin.</t>
  </si>
  <si>
    <t>Report of the training implementation plan for the Jubones Climate Alert System</t>
  </si>
  <si>
    <t>Plan to reinforce gender mainstreaming approach in the FORECCSA project.</t>
  </si>
  <si>
    <t xml:space="preserve">Monthly report to the follow up the adaptations measures </t>
  </si>
  <si>
    <t>All 2016</t>
  </si>
  <si>
    <t xml:space="preserve">Adaptation measures approved for 10  parishes  (9 in the Jubones River Basin and 1 in Pichincha) </t>
  </si>
  <si>
    <t>AZUAY</t>
  </si>
  <si>
    <t>EL ORO</t>
  </si>
  <si>
    <t>LOJA</t>
  </si>
  <si>
    <t>PICHINCHA</t>
  </si>
  <si>
    <t>JUBONES</t>
  </si>
  <si>
    <t>Risk of Extreme climate events which could setback gains made by the project</t>
  </si>
  <si>
    <t>CHUMBLIN</t>
  </si>
  <si>
    <t>SAN FERNANDO</t>
  </si>
  <si>
    <t>OÑA</t>
  </si>
  <si>
    <t>SUSUDEL</t>
  </si>
  <si>
    <t>SHAGLLI</t>
  </si>
  <si>
    <t>ABDON CALDERÓN</t>
  </si>
  <si>
    <t>GIRÓN</t>
  </si>
  <si>
    <t>LAS NIEVES</t>
  </si>
  <si>
    <t>EL PROGRESO</t>
  </si>
  <si>
    <t>NABON</t>
  </si>
  <si>
    <t>SAN GERARDO</t>
  </si>
  <si>
    <t>LA ASUNCIÓN</t>
  </si>
  <si>
    <t>ZHARUG</t>
  </si>
  <si>
    <t>COCHAPATA</t>
  </si>
  <si>
    <t>C. PIJILÍ</t>
  </si>
  <si>
    <t>CAÑARIBAMBA</t>
  </si>
  <si>
    <t xml:space="preserve">STA. ISABEL </t>
  </si>
  <si>
    <t>PUCARÁ</t>
  </si>
  <si>
    <t>VICTORIA DEL PORTETE</t>
  </si>
  <si>
    <t>UZHCURRUMI</t>
  </si>
  <si>
    <t>CAÑA QUEMADA</t>
  </si>
  <si>
    <t>PASAJE</t>
  </si>
  <si>
    <t>CASACAY</t>
  </si>
  <si>
    <t>ZARUMA</t>
  </si>
  <si>
    <t>SINSAO</t>
  </si>
  <si>
    <t>GUANAZÁN</t>
  </si>
  <si>
    <t>ABAÑÍN</t>
  </si>
  <si>
    <t>CHILLA</t>
  </si>
  <si>
    <t>MANÚ</t>
  </si>
  <si>
    <t>CELÉN</t>
  </si>
  <si>
    <t>TENTA</t>
  </si>
  <si>
    <t>LLUZHAPA</t>
  </si>
  <si>
    <t>URDANETA</t>
  </si>
  <si>
    <t>CUMBE</t>
  </si>
  <si>
    <t>EL TABLÓN</t>
  </si>
  <si>
    <t>SUMAYPAMBA</t>
  </si>
  <si>
    <t>SELVA ALEGRE</t>
  </si>
  <si>
    <t>YULUC</t>
  </si>
  <si>
    <t>SARAGURO</t>
  </si>
  <si>
    <t>CAYAMBE</t>
  </si>
  <si>
    <t>AYORA</t>
  </si>
  <si>
    <t>ASCÁZUBI</t>
  </si>
  <si>
    <t>OLMEDO</t>
  </si>
  <si>
    <t>OTÓN</t>
  </si>
  <si>
    <t>CANGAHUA</t>
  </si>
  <si>
    <t>CUZUBAMBA</t>
  </si>
  <si>
    <t>JUAN MONTALVO</t>
  </si>
  <si>
    <t>PEDRO MONCAYO</t>
  </si>
  <si>
    <t>TABACUNDO</t>
  </si>
  <si>
    <t>LA ESPERANZA</t>
  </si>
  <si>
    <t>MALCHINGUI</t>
  </si>
  <si>
    <t>TOCACHI</t>
  </si>
  <si>
    <t>TUPIGACHI</t>
  </si>
  <si>
    <t>Tarsicio Granizo, Minister.</t>
  </si>
  <si>
    <t>tarsicio.granizo@ambiente.gob.ec</t>
  </si>
  <si>
    <t>Ruben Flores, Ministry of Agriculture</t>
  </si>
  <si>
    <t>ruflores@magap.gob.ec</t>
  </si>
  <si>
    <t>Financial information:  cumulative from project start to December 2017</t>
  </si>
  <si>
    <r>
      <t>Estimated cumulative total disbursement as of</t>
    </r>
    <r>
      <rPr>
        <b/>
        <sz val="11"/>
        <color indexed="10"/>
        <rFont val="Times New Roman"/>
        <family val="1"/>
      </rPr>
      <t xml:space="preserve"> </t>
    </r>
    <r>
      <rPr>
        <b/>
        <sz val="11"/>
        <rFont val="Times New Roman"/>
        <family val="1"/>
      </rPr>
      <t>December 2017</t>
    </r>
  </si>
  <si>
    <r>
      <t xml:space="preserve">It is an important to indicate that even though co-financing is not required by the Adaptation Fund, the Government of Ecuador is committed to collaborate with additional funds for the Project. Furthermore, this project has been able to add additional funds through formal commitments from local governments, MAE and UN Women.
Resources co-financing for project execution such as:
</t>
    </r>
    <r>
      <rPr>
        <b/>
        <u/>
        <sz val="11"/>
        <color indexed="8"/>
        <rFont val="Times New Roman"/>
        <family val="1"/>
      </rPr>
      <t xml:space="preserve">2013 </t>
    </r>
    <r>
      <rPr>
        <b/>
        <sz val="11"/>
        <color indexed="8"/>
        <rFont val="Times New Roman"/>
        <family val="1"/>
      </rPr>
      <t>US$ 112.985,00</t>
    </r>
    <r>
      <rPr>
        <sz val="11"/>
        <color indexed="8"/>
        <rFont val="Times New Roman"/>
        <family val="1"/>
      </rPr>
      <t xml:space="preserve"> (MAE US$ 35.720,00; UNWomen US$ 77.265,00)
</t>
    </r>
    <r>
      <rPr>
        <b/>
        <u/>
        <sz val="11"/>
        <color indexed="8"/>
        <rFont val="Times New Roman"/>
        <family val="1"/>
      </rPr>
      <t>2014</t>
    </r>
    <r>
      <rPr>
        <sz val="11"/>
        <color indexed="8"/>
        <rFont val="Times New Roman"/>
        <family val="1"/>
      </rPr>
      <t xml:space="preserve"> </t>
    </r>
    <r>
      <rPr>
        <b/>
        <sz val="11"/>
        <color indexed="8"/>
        <rFont val="Times New Roman"/>
        <family val="1"/>
      </rPr>
      <t>US$ 477.221,59 (</t>
    </r>
    <r>
      <rPr>
        <sz val="11"/>
        <color indexed="8"/>
        <rFont val="Times New Roman"/>
        <family val="1"/>
      </rPr>
      <t xml:space="preserve">MAE US$ 242.222,42; GADPP US$ 107.070,00; CCRJ US$ 114.509,33; WFP US$ 13.419,84)
</t>
    </r>
    <r>
      <rPr>
        <b/>
        <u/>
        <sz val="11"/>
        <color indexed="8"/>
        <rFont val="Times New Roman"/>
        <family val="1"/>
      </rPr>
      <t>2015</t>
    </r>
    <r>
      <rPr>
        <sz val="11"/>
        <color indexed="8"/>
        <rFont val="Times New Roman"/>
        <family val="1"/>
      </rPr>
      <t xml:space="preserve"> </t>
    </r>
    <r>
      <rPr>
        <b/>
        <sz val="11"/>
        <color indexed="8"/>
        <rFont val="Times New Roman"/>
        <family val="1"/>
      </rPr>
      <t>US$ 515.331,41</t>
    </r>
    <r>
      <rPr>
        <sz val="11"/>
        <color indexed="8"/>
        <rFont val="Times New Roman"/>
        <family val="1"/>
      </rPr>
      <t xml:space="preserve"> (MAE US$ 292.989,16; GADPP US$ 85.156,86; CCRJ US$ 64.385,39; UN Women US$ 15.000,00; Local Governments US$ 39.800,00)
</t>
    </r>
    <r>
      <rPr>
        <b/>
        <u/>
        <sz val="11"/>
        <rFont val="Times New Roman"/>
        <family val="1"/>
      </rPr>
      <t>2016</t>
    </r>
    <r>
      <rPr>
        <sz val="11"/>
        <rFont val="Times New Roman"/>
        <family val="1"/>
      </rPr>
      <t xml:space="preserve"> US$                                                                                             MAE US$ 247,577.27                                                                          
GADPP US$ 128,585.04 
CCRJ US$ 36,876.66                                                                                      MAGAP US$ 84,348.50
UN Women US$ 7,000.00
Jubones Local Governments US$ 225,222                                                                                        </t>
    </r>
  </si>
  <si>
    <t>Institutional Agreements signed:
MAE-MAGAP-WFP
MAE-GAD PP
WFP-GAD PP
72 Letter of Agreements were signed for the implementation of adaptation measures: 
- GADPP-Local Governments: 13 written agreements among Tabacundo, Cangagua, La Esperanza, Oton, Malchingui, Ayora, Azcasubi, Juan Montalvo, Tupigachi and Olmedo                                                                                                                                                                                                                                                                                                                                                                        - MAE-Local Governments (CRJ): 7 new written agreements among San Gerardo, Chumblin, Las Nieves, Tenta, Urdaneta, Guanazán and Shagli, 
- MAE-Local Governments: 28  written agreements among El Tablón, Saraguro, San Sebastian de Yuluc, Lluzhapa, Selva Alegre, Nabón, Abañín, El Progreso, Susudel, San Fernando, Sumaypaba, Chilla, San Felipe de Oña, La Asunción, Abdón Calderón, Sharug, Cañaquemada, Uzhcurrumi, Manu, Celen, Cochapata, Pasaje, Casacay,  Carmen de Pijilí, Cumbe, Victoria del Portete and Pucará
- MAE - Local Governments: 24 adendda to the agreements among Tablon, Saraguro, Yuluc, Lluzhapa, Selva Alegre, Nabón, Abañín, El Progreso, Susudel, San Fernando, Sumaypamba, Cumbe, Chilla, San Felipe de Oña, La Asunción, Abdón Calderón, Cañaquemada, Uzhcurrumi,  Manú, Celén, Cochapata and Girón</t>
  </si>
  <si>
    <t>HS</t>
  </si>
  <si>
    <t xml:space="preserve">
Project activities have created ways to facilitate participation of women and men and take into account their different needs. Targeting criteria for households participation in adaptation measures gives priority to families who are led by women. Decision-making workshops promoted by the project are held at times that fit well with women's schedules. During the development of workshops, facilities for child care are provided from project staff so participants can concentrate in the training.  Con los Gobiernos y Organizaciones Locales se coordinan espacios y mecanismos incluyentes de convocatoria para facilitar la participación de las mujeres, y cuando se identifican liderazgos femeninos se otorgan facilidades para su participación efectiva y se apoyan sus iniciativas. Además se fomentan espacios de intervención en eventos de importancia local, como los Festivales de Saberes y sabores Andinos donde las intervenciones en representación de las zonas las realizaron mujeres identificadas como liderezas, asi mismo los testimonios para videos o reportajes privilegian la participación de mujeres. 
The process of measures implementation considered working with groups of men and women to facilitate their needs and interests manifest themselves separately and properly addressed. Work on measures such as orchards, small animals and farm irrigation has allowed meet the practical needs of women. In Jubones three municipalities and parishes are led by women, these have been taken as emblematic cases and work closely to promote women empowerment and use them as an example. El equipo del Poyecto tiene una alta sensibilidad de Género y esto facilita que se fomenten espacios y condiciones para lograr y mejorar la participación de las mujeres con la finalidad de aportar a mejorasr sus necesidades prácticas y estratégicas. Como producto de esto se ha logrado que al menos dos mujeres ocupen cargos directivos en las juntas de regantes que tradicionalmente han estado conformadas por hombres. 
Estrategia género, ejes, indicador medido de número de horas de trabajo reducido a las mujeres con las medidas, independencia financiera reducción de violencia, guardiana del aguay otra historia actual. Trabajo aunado con UN WOMEN
</t>
  </si>
  <si>
    <t>50 parishes have  identified and designed at least one concrete adaptation measure.</t>
  </si>
  <si>
    <t>The gender approach in the Project:</t>
  </si>
  <si>
    <t>Strengthening the resilience of communities to the adverse effects of climate change with emphasis on food security, in the province of Pichincha and the Jubones river basin, FORECCSA.</t>
  </si>
  <si>
    <t>Prepared by: Javier Rojas</t>
  </si>
  <si>
    <t>MANAGER OF THE FORECCSA PROJECT</t>
  </si>
  <si>
    <r>
      <t>1.</t>
    </r>
    <r>
      <rPr>
        <sz val="12"/>
        <color theme="1"/>
        <rFont val="Cambria"/>
        <family val="1"/>
      </rPr>
      <t xml:space="preserve"> </t>
    </r>
    <r>
      <rPr>
        <b/>
        <sz val="12"/>
        <color theme="1"/>
        <rFont val="Cambria"/>
        <family val="1"/>
      </rPr>
      <t>     BACKGROUND:</t>
    </r>
  </si>
  <si>
    <t>The purpose of the project is to "reduce vulnerability to the adverse effects of climate change and food insecurity of communities and ecosystems in the most vulnerable cantons of the Pichincha Province and the Jubones River basin", those territories were selected for their high vulnerability , for the basic needs of the population and for the viability to work together with organized local entities.</t>
  </si>
  <si>
    <t>The project seeks to reduce the vulnerability to climate change and its risks in 50 parishes of 4 provinces of Ecuador (Azuay, El Oro, Loja and Pichincha) for which it works on two fundamental lines: i) the development of awareness and knowledge about the risks of climate change and food insecurity at the community level; and ii) increase knowledge to manage the risks of climate change that affect food security in the prioritized cantons of the Province of Pichincha and the Jubones River basin.</t>
  </si>
  <si>
    <t>One of the main added values that the FORECCSA Project has, is to consider within its proposal the gender approach, that is, to conceive the population in its diversity and specifically understand the differentiated implications of climate change in the lives of men and women, seeking to enhance the results of the intervention and generating equal opportunities for men and women to access the benefits of the project.</t>
  </si>
  <si>
    <r>
      <t>2.</t>
    </r>
    <r>
      <rPr>
        <sz val="12"/>
        <color theme="1"/>
        <rFont val="Cambria"/>
        <family val="1"/>
      </rPr>
      <t xml:space="preserve"> </t>
    </r>
    <r>
      <rPr>
        <b/>
        <sz val="12"/>
        <color theme="1"/>
        <rFont val="Cambria"/>
        <family val="1"/>
      </rPr>
      <t>     GENDER AND CLIMATE CHANGE</t>
    </r>
  </si>
  <si>
    <t>The FORECCSA project is based on the conviction that understanding the relationship between climate change and gender is essential to promote processes of resilience, adaptation and mitigation of the effects of climate change that are significant and sustainable over time, conceiving equality and social equity as a fundamental human right, enshrined in the Constitution of the Republic.</t>
  </si>
  <si>
    <t>As in all human activity, the consequences of climate change are differentiated for men and women according to their roles, functions, responsibilities, position in society and their capacity for control and power over natural resources, these attributes are socially constructed in function of the biological sex of people.</t>
  </si>
  <si>
    <t>The populations in conditions of poverty and vulnerability are the ones who suffer the most by the effects of climate change, because they depend more on natural resources while they have less means to face these effects, and they are generally located in risk areas. These poor populations are composed mainly of women, since according to estimates, of 1.3 billion people in the world who are in poverty, 70% of them are women [1].</t>
  </si>
  <si>
    <t>Another expression of the differentiated consequences of climate change for women is the decrease of resources such as water, fuel and food. Hence, considering that women are linked to domestic work , they are responsible for ensuring the survival of the family, the loss or reduction of these resources, generates more work, concern and stress in women.</t>
  </si>
  <si>
    <t>The gender-food security relationship is also fundamental. Currently, women in rural areas are the main generators of food, calculating that in developing countries women produce between 60% and 80% [2] of the food consumed. For this reason, when there are erosion processes, deforestation, loss of soil fertility, among others, women are the first to be harmed. In poor rural areas, the cooking of food often depends on obtaining fuel and water, so that deforestation and droughts have a negative impact on the lives of women and girls, who are mainly responsible for getting them for domestic chores and the preparation of food.</t>
  </si>
  <si>
    <t>In terms of food security, it has been determined that if women had the same access and power over land and resources for the production that men have (raw materials, seeds, tools, technology, credit), more and better foods would be produced. Furthermore, if women would not be subjected to the consequences of climate change in their lives and in agriculture, they would have more time to devote to improving the food security of families. It has also been proven that when women obtain some income of their own, such as the sale of the products of their garden or the minor animals they care for, this income is reinvested in the household food or in the education of the children, in general in the welfare of the family.</t>
  </si>
  <si>
    <t>From another perspective, women contribute less to climate change than men, since they are the ones who bear its effects and face them from their millennial knowledge of the use of resources and their capacity to face crises and move their home forward.</t>
  </si>
  <si>
    <r>
      <t>3.</t>
    </r>
    <r>
      <rPr>
        <sz val="12"/>
        <color theme="1"/>
        <rFont val="Cambria"/>
        <family val="1"/>
      </rPr>
      <t xml:space="preserve"> </t>
    </r>
    <r>
      <rPr>
        <b/>
        <sz val="12"/>
        <color theme="1"/>
        <rFont val="Cambria"/>
        <family val="1"/>
      </rPr>
      <t>     ADVANCES AND PERSPECTIVES OF THE FORECCSA PROJECT IN THE GENDER ISSUE</t>
    </r>
  </si>
  <si>
    <t>The FORECCSA project is a pioneering project in Ecuador on the topic of climate change, since it was conceived from its formulation with a gender perspective. For this purpose, the project foresaw the specific relationships established by men and women with their environment and with the effects of climate change, as well as their role in the issue of food security, based on the assumption that the introduction of such an approach will improve and it will boost the results of the project, but above all it will generate greater equity and benefits for both men and women. To this end, FORECCSA works from the following programmatic lines:</t>
  </si>
  <si>
    <t>•          Generation of a guiding strategy to mainstream the gender approach.</t>
  </si>
  <si>
    <t>•          Generation of studies, diagnoses and intervention proposals to introduce the gender approach in the project</t>
  </si>
  <si>
    <t>•          Consideration of the gender approach in the preparation of vulnerability analysis, plans and adaptation measures.</t>
  </si>
  <si>
    <t>•          Training and awareness on the subject of gender in order to "speak the same language" and promote a common proposal.</t>
  </si>
  <si>
    <t>•          Definition of specific goals to be achieved within the term and scope of work in terms of practical and strategic needs of women.</t>
  </si>
  <si>
    <t>•          Technical assistance and support from UN Women for the introduction and application of the gender approach</t>
  </si>
  <si>
    <t>•          Development of tools and mechanisms to introduce the gender approach and improve the participation, status and position of women</t>
  </si>
  <si>
    <t>•          Monitoring and evaluation system with a gender approach</t>
  </si>
  <si>
    <t>•          Systematization of experiences and successful cases on the relationship between climate change, gender and food security.</t>
  </si>
  <si>
    <t>The most relevant aspects of each programmatic line are described below:</t>
  </si>
  <si>
    <r>
      <t>3.1.</t>
    </r>
    <r>
      <rPr>
        <sz val="12"/>
        <color theme="1"/>
        <rFont val="Cambria"/>
        <family val="1"/>
      </rPr>
      <t xml:space="preserve"> </t>
    </r>
    <r>
      <rPr>
        <b/>
        <sz val="12"/>
        <color theme="1"/>
        <rFont val="Cambria"/>
        <family val="1"/>
      </rPr>
      <t>   Generation of a guiding strategy to mainstream the gender approach.</t>
    </r>
  </si>
  <si>
    <r>
      <t>3.2.</t>
    </r>
    <r>
      <rPr>
        <sz val="12"/>
        <color theme="1"/>
        <rFont val="Cambria"/>
        <family val="1"/>
      </rPr>
      <t xml:space="preserve"> </t>
    </r>
    <r>
      <rPr>
        <b/>
        <sz val="12"/>
        <color theme="1"/>
        <rFont val="Cambria"/>
        <family val="1"/>
      </rPr>
      <t>   Generation of studies, diagnoses and intervention proposals to introduce the gender approach in the project.</t>
    </r>
  </si>
  <si>
    <t>In the absence of information and the need to know the situation of men and women and gender relations that are established in the area of intervention, as well as propose specific intervention proposals according to local realities, the project has developed the following products:</t>
  </si>
  <si>
    <t>•          Diagnosis of the local dynamics of gender in the territories of implementation of the FORECCSA MAE-MAGAP-PMA project. (2013)</t>
  </si>
  <si>
    <t>•          Design of a strategy to mainstream and institutionalize the gender approach in the FORECCSA project (2013), with the aim of contributing to the reduction of inequity gaps between men and women in the beneficiary communities, through interventions that revalue and strengthen women.</t>
  </si>
  <si>
    <t>•          Gender baseline on the social and cultural dynamics of the basin and the particularities to be considered in order to work with the gender approach in the project (in preparation 2015).</t>
  </si>
  <si>
    <r>
      <t>3.3.</t>
    </r>
    <r>
      <rPr>
        <sz val="12"/>
        <color theme="1"/>
        <rFont val="Cambria"/>
        <family val="1"/>
      </rPr>
      <t xml:space="preserve"> </t>
    </r>
    <r>
      <rPr>
        <b/>
        <sz val="12"/>
        <color theme="1"/>
        <rFont val="Cambria"/>
        <family val="1"/>
      </rPr>
      <t>   Consideration of the gender approach in the preparation of vulnerability analysis, plans and adaptation measures.</t>
    </r>
  </si>
  <si>
    <t>Within the framework of the second objective of the Project, an expected result is increasing the adaptive capacity and resilience of vulnerable communities and ecosystems. Measures based on parochial adaptation plans have been designed to achieve this, specific adaptation. The plans have been formulated based on a vulnerability assessment of livelihoods and food security in the face of the adverse effects of climate change.</t>
  </si>
  <si>
    <t>The development of the referred studies has considered participatory and gender elements in its formulation in order to approximate the interests, needs differentiated by men and women. The gender aspects are deeply rooted, vary considerably between cultures and within them, and change over time. However, in all cultures gender determines the power and resources for women and men.</t>
  </si>
  <si>
    <t>The Project has taken important steps in the understanding of gender relations for the generation of the aforementioned studies in 11 parishes of Pichincha and 34 of Jubones. However the gender approach is not equally present in the development of the plans and measures of adaptation of the different parishes. For this reason, a strategic alliance was created with UN Women, through which a gender expert has joined the team in order to strengthen everything related to the implementation of the focus in the actions that are carried out.</t>
  </si>
  <si>
    <r>
      <t>3.4.</t>
    </r>
    <r>
      <rPr>
        <sz val="12"/>
        <color theme="1"/>
        <rFont val="Cambria"/>
        <family val="1"/>
      </rPr>
      <t xml:space="preserve"> </t>
    </r>
    <r>
      <rPr>
        <b/>
        <sz val="12"/>
        <color theme="1"/>
        <rFont val="Cambria"/>
        <family val="1"/>
      </rPr>
      <t>   Training and sensitization on the gender issue in order to "speak the same language" and promote a common proposal.</t>
    </r>
  </si>
  <si>
    <t>The introduction of the gender approach, goes through a process of awareness and training to the technical team. This enables them understand the importance of this perspective for their work and handle concepts and operational tools. For this, progress has been made in the preparation of:</t>
  </si>
  <si>
    <t>•          Training Plan in gender for the technicians of the FORECCSA project, addressed to the technical teams of the MAE, of the Consortium of the Jubones River Basin and of the local promoters belonging to the GADs, counterparts of the project. The Training Plan is a theoretical-practical proposal addressed to the project managers, for their leading role in guiding the execution and the multiplying potential of such knowledge through the technical team. (2015). The Plan will begin its execution in August 2015 and will last until the beginning of 2016, its main training strategy being workshops and field support to apply the knowledge acquired.</t>
  </si>
  <si>
    <r>
      <t>3.5.</t>
    </r>
    <r>
      <rPr>
        <sz val="12"/>
        <color theme="1"/>
        <rFont val="Cambria"/>
        <family val="1"/>
      </rPr>
      <t xml:space="preserve"> </t>
    </r>
    <r>
      <rPr>
        <b/>
        <sz val="12"/>
        <color theme="1"/>
        <rFont val="Cambria"/>
        <family val="1"/>
      </rPr>
      <t xml:space="preserve">   </t>
    </r>
    <r>
      <rPr>
        <sz val="12"/>
        <color theme="1"/>
        <rFont val="Cambria"/>
        <family val="1"/>
      </rPr>
      <t>Definition of specific goals to be achieved within the term and scope of work in terms of practical and strategic needs of women.</t>
    </r>
  </si>
  <si>
    <r>
      <t>3.6.</t>
    </r>
    <r>
      <rPr>
        <sz val="12"/>
        <color theme="1"/>
        <rFont val="Cambria"/>
        <family val="1"/>
      </rPr>
      <t xml:space="preserve"> </t>
    </r>
    <r>
      <rPr>
        <b/>
        <sz val="12"/>
        <color theme="1"/>
        <rFont val="Cambria"/>
        <family val="1"/>
      </rPr>
      <t>   Technical assistance and support from UN Women for the introduction and application of the gender approach</t>
    </r>
  </si>
  <si>
    <t>As a strategy to strengthen the application of the gender approach in practice and recognizing that this topic requires specific knowledge and expertise, the Project, in alliance with UN Women, incorporated a gender expert into the team and supports it, among other major actions in:</t>
  </si>
  <si>
    <t>•          Transversalization of the approach in all measures of adaptation to climate change implemented by the project, both at the theoretical-methodological level and in the field.</t>
  </si>
  <si>
    <t>•          Research and analysis of the differentiated effects of the application of the gender approach in the different measures.</t>
  </si>
  <si>
    <r>
      <t>3.7.</t>
    </r>
    <r>
      <rPr>
        <sz val="12"/>
        <color theme="1"/>
        <rFont val="Cambria"/>
        <family val="1"/>
      </rPr>
      <t xml:space="preserve"> </t>
    </r>
    <r>
      <rPr>
        <b/>
        <sz val="12"/>
        <color theme="1"/>
        <rFont val="Cambria"/>
        <family val="1"/>
      </rPr>
      <t>   Development of tools and mechanisms to introduce the gender approach and improve the participation, status and position of women.</t>
    </r>
  </si>
  <si>
    <t>It is also working on the development of methodologies and tools that enable the techniques and / or linking in practice the approaches of gender, climate change and food security. These tools will serve to:</t>
  </si>
  <si>
    <t>•          Understand the roles, functions and actions of men and women in the face of climate change and food security.</t>
  </si>
  <si>
    <t>•          Analyze the management of power and the processes of control and decision making.</t>
  </si>
  <si>
    <t>•          Promote participation and decision making of women in the project, in order to empower them.</t>
  </si>
  <si>
    <t>•          Understanding and link gender-age-ethnic relationship, as groups with which working belong to different age groups and ethnic identities (indigenous mongrel Kiwchas and Saraguros).</t>
  </si>
  <si>
    <t>•          Introduce the gender approach in the planning and preparation of projects, proposals and indicators with a gender approach.</t>
  </si>
  <si>
    <r>
      <t>3.8.</t>
    </r>
    <r>
      <rPr>
        <sz val="12"/>
        <color theme="1"/>
        <rFont val="Cambria"/>
        <family val="1"/>
      </rPr>
      <t xml:space="preserve"> </t>
    </r>
    <r>
      <rPr>
        <b/>
        <sz val="12"/>
        <color theme="1"/>
        <rFont val="Cambria"/>
        <family val="1"/>
      </rPr>
      <t>   Monitoring and evaluation system with a gender approach</t>
    </r>
  </si>
  <si>
    <t>The project has developed a monitoring, monitoring and evaluation system that is currently being led by the MAE teams in the territories. In order for the mainstreaming of the approach to encompass the completeness of the project planning cycle (planning-execution-follow-up), in August and September of this year the Design of a monitoring and monitoring system for the subject of gender, which is incorporated into the general system of the project, already underway. The system will include indicators and concrete tools for monitoring with a gender perspective.</t>
  </si>
  <si>
    <r>
      <t>3.9.</t>
    </r>
    <r>
      <rPr>
        <sz val="12"/>
        <color theme="1"/>
        <rFont val="Cambria"/>
        <family val="1"/>
      </rPr>
      <t xml:space="preserve"> </t>
    </r>
    <r>
      <rPr>
        <b/>
        <sz val="12"/>
        <color theme="1"/>
        <rFont val="Cambria"/>
        <family val="1"/>
      </rPr>
      <t>   Systematization of experiences and successful cases on the relationship between climate change, gender and food security.</t>
    </r>
  </si>
  <si>
    <t>The explicit approach to the relationship between gender, climate change, gender and food security is relatively new and the FORECCSA Project is one of the pioneers in the country. In this context, throughout its execution, the most relevant experiences are identified, documented and systematized, in order to finally have a documentary base that recovers, accumulates and shares the learning that the experience leaves behind, generating a different type of knowledge than the one that provides the research even if you share some of its techniques. For this purpose, systematization is considered as:</t>
  </si>
  <si>
    <r>
      <t>Four.</t>
    </r>
    <r>
      <rPr>
        <sz val="12"/>
        <color theme="1"/>
        <rFont val="Cambria"/>
        <family val="1"/>
      </rPr>
      <t xml:space="preserve"> </t>
    </r>
    <r>
      <rPr>
        <b/>
        <sz val="12"/>
        <color theme="1"/>
        <rFont val="Cambria"/>
        <family val="1"/>
      </rPr>
      <t>     FINAL CONSIDERATIONS</t>
    </r>
  </si>
  <si>
    <t>[1] STOCK, Anke, Climate change from a gender perspective. Friedrich Ebert Stiftung, FES-ILDIS, Regional Energy and Climate Project, Quito, April 2012, p. Four.</t>
  </si>
  <si>
    <t>[2] FAO in Action 2010-2011.</t>
  </si>
  <si>
    <t xml:space="preserve">
In 2017 the experience of the FORECCSA project (focus, proposal, methodology, results) has been exposed in at least 10 local fairs that reached an estimated participation of 19,000 people; 8 events to exchange experiences that involved 2,800 people, plus the visit of 5 national and international delegations interested in learning about the actions of the FORECCA project. Annex xx details this information.
Among the relevant events of the year 2017 is the Festival of Andean tastes and flavors to face climate change, one was carried out in each work area. In Pichincha was attended by 1000 people and in Jubones was 2000. They attended delegations of men and women from all participating parishes in order to exchange experiences on the positive results of adaptation measures implemented through the Project FORECCSA, authorities of MAE, MAG, PMA and the executing partners also participated. On the part of the MAE, a recognition was given to the leadership that the GADs have had for the implementation of the adaptation measures that counteract the effects of climate change on food sovereignty, including gender considerations, in the most vulnerable communities.
The area of ​​resilience and climate change of PMA Latin America conducted in 2017 four videos on alliances, capacity building, resilience and gender where the experience of the FORECCSA project was included. In the validation process of adaptation plans, 34 workshops were held where the relevant information on climate change, food security and gender were disseminated. Project experience was also presented, by a PMA official, in the Adaptation Fund Side Event Showcases Environmental and Social Policies in Helping Ensure Focus on Most Vulnerable, held at COP 23 in Bonn - Germany.
</t>
  </si>
  <si>
    <t>PARISHES</t>
  </si>
  <si>
    <t>TOTAL OF IMPLEMENTED TYPOLOGIES</t>
  </si>
  <si>
    <t>1. Protection of water sources</t>
  </si>
  <si>
    <t>2. Promotion of silvopastures for the creation of microclimates and moisture retention</t>
  </si>
  <si>
    <t>3. Provision and strengthening of parcel irrigation in areas of drought</t>
  </si>
  <si>
    <t>4. Strengthening community irrigation in drought areas</t>
  </si>
  <si>
    <t>5. Promotion of seeds with attributes of drought and frost resistance</t>
  </si>
  <si>
    <t>6. Promotion of family orchards</t>
  </si>
  <si>
    <t>7. Management of organic fertilizers for soil moisture retention</t>
  </si>
  <si>
    <t>8. Improvement of the provision of water for human consumption</t>
  </si>
  <si>
    <t>9.Promotion of smaller animals</t>
  </si>
  <si>
    <t>Number of typologies per parish</t>
  </si>
  <si>
    <t>The Ministry of the Environment through the Undersecretariat of Climate Change implements the FORECCSA Project, which receives its funding from the Adaptation Fund of the Kyoto Protocol and in its implementation involves the World Food Programme of the United Nations as a Multilateral Implementation Agency and to the Ministry of Agriculture, Livestock and Fisheries as an advisory body. At the level of executing partners, the Government of the Pichincha Province and the Consortium of the Jubones River basin are involved. The Project is executed in the period 2012 - 2016.</t>
  </si>
  <si>
    <t>From December 2016 to December 2017</t>
  </si>
  <si>
    <t>Jubones Watershed (covering 3 Provinces, 12 Cantons and 39 Parishes)
Pichincha Province (covering 1 Province, 2 Cantons and 11 Parishes)
Total 15,000 vulnerable families</t>
  </si>
  <si>
    <t>March - June 2015</t>
  </si>
  <si>
    <t>Kyung-nan Park, Country Director</t>
  </si>
  <si>
    <t>The contracting process was carried out through an open process through public call</t>
  </si>
  <si>
    <t>GADPP Procurement of goods to be used in the improvement and expansion of the irrigation system in the Modular Board 9 Take 29 pro-improvement neighborhood Las Flores and El Carmen Procurement Method: Inverse Auction (Subasta Inversa). Date of Call: November 20, 2015</t>
  </si>
  <si>
    <t>Procurement process done by GAD PP through the procurement digital government system under method called Inverse Auction (Portal de Compras Públicas - Subasta Inversa). Two bids were
received. The bid with the lowest price was selected. The total value of the savings was of $16,494.00. The offerer made a reduction of 15% and was contracted.</t>
  </si>
  <si>
    <t>Procurement process done by GADPP through the procurement digital government system under method called Inverse Auction (Portal de Compras Públicas - Subasta Inversa). There was only one bid. After certifying technical compliance, according to Ecuadorian National Procurement Rules and Regulations (Art. 47; No. 4), the only bid needed to decrease its offer in at least 5%. The offerer made a reduction of 10% and was contracted.</t>
  </si>
  <si>
    <t>GADPP Procurement of goods to coat and protect the water reservoir for the Guanto-San Carlos and Curiloma communities, Ayora parish, Cayambe canton.
Procurement Method: Inverse Auction (Subasta Inversa)
Date of Call: June 28, 2016</t>
  </si>
  <si>
    <t>Selection Process for a small amount, for the contracting of a professional in the design and construction of irrigation work, for the canton of Girón.
December 04, 2015</t>
  </si>
  <si>
    <t>Procurement Process of cement, through the national system of public procurement - Special Regime.
October 30, 2015</t>
  </si>
  <si>
    <t>Procurement process by smallest amount, selecting the best offer, to contract transportation service for cement acquired by R.E.
November 09, 2015</t>
  </si>
  <si>
    <t>Ecology Farm was selected because it offered all of the items requested for the lowest price</t>
  </si>
  <si>
    <t>The two suppliers were selected for offering the best prices and comply with the requested technical specifications</t>
  </si>
  <si>
    <t>The lowest price supplier was selected</t>
  </si>
  <si>
    <t>Waiver requested by the Ministry of Environment because this provider has experience in the production of national and international videos.</t>
  </si>
  <si>
    <t>The supplier was selected with lowest price and meets the requested specifications</t>
  </si>
  <si>
    <t>Juan Pablo Alvarado was selected because he offered all of the requested items and complied with the required technical specifications</t>
  </si>
  <si>
    <t>Quezada Cristina was selected because she offered the totality of irrigation kits requested and at the lowest price</t>
  </si>
  <si>
    <t>Selection of a professional to fulfill the functions of promoter of the Urdaneta parish, contract for a monthly salary of $ 1,000 for 4 months, additional to the salary is canceled $ 100 per month for mobilization.</t>
  </si>
  <si>
    <t>Public Procurement Process through the National Public Procurement System. An Electronic Reverse Auction process was conducted, which allow several bidders to participate and the system chooses the best offer. In this process five bids were presented, the same ones that after the phase of Validation of errors were rated in the bidding process phase by the technical commission. The system chose the best offer with a saving of $ 13,918.</t>
  </si>
  <si>
    <t>Procurement process done by small amount. The best offer was selected of the three submitted ones and that suits the interests of the project and the contracting institution. In this period the outstanding balance of the contract is canceled.</t>
  </si>
  <si>
    <t>Public Procurement Process through the National Public Procurement System is applied between public sector institutions. Direct purchase to the State supplier.</t>
  </si>
  <si>
    <t>The CCRJ, formerly "Mancomunidad de la Cuenca del Río Jubones" (MCRJ) carried out a process in 2011 to legally conform a Public Consortium under the decentralized law (COOTAD). 
The project team has worked closely with the CCRJ team in order to mitigate difficulties caused by changes in staff; over the course of one year, there were four different CCRJ managers. During 2015, CCRJ demonstrated little capacity to execute the project. CCRJ personnel has decreased, local governments question their membership and there is also a lack of budget.
On January 2015, the Project Steering Committee (SC) assessed CCRJ capacity to implement the project and decided that CCRJ finishes 8 adaptation measures that were under their implementation and that the other parishes will be implemented directly by the Ministry of Environment of Ecuador. This new execution modality requested the assistance of WFP on strategic procurement processes. This new modality entered into force in June 2015. 
As a result of this new implementation, 22 local governments requested this modality (based on a resolution from their governmental bodies) and a total of 22 agreements were signed. In the rest of the parishes of Jubones the actions are implemented in direct coordination between MAE and the local governments, which has allowed a significant advance.
The CCRJ has completed its performance as an implementing partner for 8 adaptation measures, of which 7 were completed and one was transferred to MAE team, in order to complete pending actions. Consortium has submitted an assessments and a review of the accounts has been carried out. The final audit is pending, with an external national consultant.
In 2017, the CCRJ presented the final technical and financial inforem, which obtained the endorsement of the Project team. In addition, the final audit and closing of operations with this partners was carried out, hence the risk has been overcome.</t>
  </si>
  <si>
    <t>Delay on project implementation due to the Local Stakeholders lack of experience on project implementation and understanding of adaptation to climate change processes</t>
  </si>
  <si>
    <t>Identified in 2015, delay in the processes of contracting  and acquisition of materials required by the Project</t>
  </si>
  <si>
    <t xml:space="preserve">There is a risk of a project delay caused by weather conditions. Thus, project staff elaborates terms of references with a warning note for the bidders about the heavy rainy season conditions before hiring construction work. Thus, bidders can foresee strategies against this issue.  </t>
  </si>
  <si>
    <t xml:space="preserve">Identified at the end of the year 2015: Weather conditions impact infrastructure construction due to rainy season, making construction work very difficult. </t>
  </si>
  <si>
    <t>The FORECCSA project has set itself the challenge of assuming the gender focus in practice and, to make it viable, it demonstrates political will and is acting at a strategic, theoretical and practical level. On a strategic level, it has promoted an alliance with UN Women; in terms of its political will, it has allocated resources, personnel, time and work for this purpose; At the theoretical level, it has developed and continues to conduct studies, research, diagnostics and work proposals; and, on a practical level, it has started with the generation of tools, methodologies and indicators adapted to the logic of the project and the area of intervention and has also provided technical advice for the current stage of the project. In this pioneering process, the project is working to create its own methodology that links gender and climate change, which is expected to contribute to strengthening the achievement of the expected results. This methodology could be shared later with other similar initiatives, through systematization processes, training and exchange of experiences.</t>
  </si>
  <si>
    <r>
      <rPr>
        <b/>
        <sz val="11"/>
        <color theme="1"/>
        <rFont val="Times New Roman"/>
        <family val="1"/>
      </rPr>
      <t xml:space="preserve">1. </t>
    </r>
    <r>
      <rPr>
        <sz val="11"/>
        <color theme="1"/>
        <rFont val="Times New Roman"/>
        <family val="1"/>
      </rPr>
      <t xml:space="preserve">Generation of relevant data, Stakeholders, and Timeliness 
</t>
    </r>
    <r>
      <rPr>
        <b/>
        <sz val="11"/>
        <color theme="1"/>
        <rFont val="Times New Roman"/>
        <family val="1"/>
      </rPr>
      <t>2.1.</t>
    </r>
    <r>
      <rPr>
        <sz val="11"/>
        <color theme="1"/>
        <rFont val="Times New Roman"/>
        <family val="1"/>
      </rPr>
      <t xml:space="preserve"> Include both qualitative and quantitative measures of capacity level within targeted institutions
</t>
    </r>
    <r>
      <rPr>
        <b/>
        <sz val="11"/>
        <color theme="1"/>
        <rFont val="Times New Roman"/>
        <family val="1"/>
      </rPr>
      <t xml:space="preserve">2.2. </t>
    </r>
    <r>
      <rPr>
        <sz val="11"/>
        <color theme="1"/>
        <rFont val="Times New Roman"/>
        <family val="1"/>
      </rPr>
      <t xml:space="preserve">Number (of men and women and other vulnerable groups)
</t>
    </r>
    <r>
      <rPr>
        <b/>
        <sz val="11"/>
        <color theme="1"/>
        <rFont val="Times New Roman"/>
        <family val="1"/>
      </rPr>
      <t>3.1.</t>
    </r>
    <r>
      <rPr>
        <sz val="11"/>
        <color theme="1"/>
        <rFont val="Times New Roman"/>
        <family val="1"/>
      </rPr>
      <t xml:space="preserve"> Use scale from 1 to 5: 5: Fully aware 4: Mostly aware 3: Partially aware 2: Partially not aware 1: Aware of neither predicted adverse impacts of climate change nor of appropriate responses
</t>
    </r>
    <r>
      <rPr>
        <b/>
        <sz val="11"/>
        <color theme="1"/>
        <rFont val="Times New Roman"/>
        <family val="1"/>
      </rPr>
      <t xml:space="preserve">3.2. </t>
    </r>
    <r>
      <rPr>
        <sz val="11"/>
        <color theme="1"/>
        <rFont val="Times New Roman"/>
        <family val="1"/>
      </rPr>
      <t xml:space="preserve">Use scale from 1 to 5:  5: All 4: Almost all 3: Half 2: Some 1: None
</t>
    </r>
    <r>
      <rPr>
        <b/>
        <sz val="11"/>
        <color theme="1"/>
        <rFont val="Times New Roman"/>
        <family val="1"/>
      </rPr>
      <t>4.1.</t>
    </r>
    <r>
      <rPr>
        <sz val="11"/>
        <color theme="1"/>
        <rFont val="Times New Roman"/>
        <family val="1"/>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1"/>
        <color theme="1"/>
        <rFont val="Times New Roman"/>
        <family val="1"/>
      </rPr>
      <t>4.2.</t>
    </r>
    <r>
      <rPr>
        <sz val="11"/>
        <color theme="1"/>
        <rFont val="Times New Roman"/>
        <family val="1"/>
      </rPr>
      <t xml:space="preserve">  Summarize in an overall scale (1-5):  5: Fully improved 4: Mostly Improved 3: Moderately improved 2: Somewhat improved
1: Not improved                                                                                                                                                                                                                           </t>
    </r>
    <r>
      <rPr>
        <b/>
        <sz val="11"/>
        <color theme="1"/>
        <rFont val="Times New Roman"/>
        <family val="1"/>
      </rPr>
      <t>5.</t>
    </r>
    <r>
      <rPr>
        <sz val="11"/>
        <color theme="1"/>
        <rFont val="Times New Roman"/>
        <family val="1"/>
      </rPr>
      <t xml:space="preserve">  Depends on the targeted natural asset: 
</t>
    </r>
    <r>
      <rPr>
        <i/>
        <sz val="11"/>
        <color theme="1"/>
        <rFont val="Times New Roman"/>
        <family val="1"/>
      </rPr>
      <t>Biological (species):</t>
    </r>
    <r>
      <rPr>
        <sz val="11"/>
        <color theme="1"/>
        <rFont val="Times New Roman"/>
        <family val="1"/>
      </rPr>
      <t xml:space="preserve"> measure through changes in population numbers (dynamics, structure, etc.)
</t>
    </r>
    <r>
      <rPr>
        <i/>
        <sz val="11"/>
        <color theme="1"/>
        <rFont val="Times New Roman"/>
        <family val="1"/>
      </rPr>
      <t xml:space="preserve">Land: </t>
    </r>
    <r>
      <rPr>
        <sz val="11"/>
        <color theme="1"/>
        <rFont val="Times New Roman"/>
        <family val="1"/>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1"/>
        <color theme="1"/>
        <rFont val="Times New Roman"/>
        <family val="1"/>
      </rPr>
      <t>6.1.</t>
    </r>
    <r>
      <rPr>
        <sz val="11"/>
        <color theme="1"/>
        <rFont val="Times New Roman"/>
        <family val="1"/>
      </rPr>
      <t xml:space="preserve">  Summarize in an overall scale (1-5):  5: Very high improvement 4: High improvement 3: Moderate improvement 2: Limited improvement 1: No improvement                                                                                                                                                                                                                                                         </t>
    </r>
    <r>
      <rPr>
        <b/>
        <sz val="11"/>
        <color theme="1"/>
        <rFont val="Times New Roman"/>
        <family val="1"/>
      </rPr>
      <t xml:space="preserve">6.2. </t>
    </r>
    <r>
      <rPr>
        <sz val="11"/>
        <color theme="1"/>
        <rFont val="Times New Roman"/>
        <family val="1"/>
      </rPr>
      <t xml:space="preserve"> Household income by source of livelihood in project area (USD) prior and post project intervention                                                                                                                                                                                                                                                      </t>
    </r>
    <r>
      <rPr>
        <b/>
        <sz val="11"/>
        <color theme="1"/>
        <rFont val="Times New Roman"/>
        <family val="1"/>
      </rPr>
      <t>7.</t>
    </r>
    <r>
      <rPr>
        <sz val="11"/>
        <color theme="1"/>
        <rFont val="Times New Roman"/>
        <family val="1"/>
      </rPr>
      <t xml:space="preserve"> Summarize in an overall scale (1-5).  5: All (Fully integrated) 4: Most 3: Some 2: Most not integrated 1: None</t>
    </r>
  </si>
  <si>
    <t>Selection Process for very small amounts, for the hiring of a professional expert for the design and construction of irrigation works, for the parishes of Tenta, Urdaneta and Guanazán. 
November 04, 2015.</t>
  </si>
  <si>
    <t>Public Procurement Process through the National Public Procurement System, which is an Electronic Reverse Auction Process that allows several suppliers to participate. The system chooses the best offer. Two offers were submitted, the same ones that were qualified in the bidding process phase. The system chose the best offer with a saving of $1,168.</t>
  </si>
  <si>
    <t>* Valores marcados en azul fueron ajustados con Oficio del MAE No. 2015-0461 del 27-agosto-205</t>
  </si>
  <si>
    <t>GADPP</t>
  </si>
  <si>
    <t>Tupigachi</t>
  </si>
  <si>
    <t>Tocachi</t>
  </si>
  <si>
    <t>Impact reduction of current and future variations of the climate system on the food sovereignty of the San Juan de Malchinguí Association, Malchinguí Parish, through the permanent provision of water irrigation.</t>
  </si>
  <si>
    <t>Malchingui</t>
  </si>
  <si>
    <t>Ensuring permanent endowment of water irrigation to reduce the impact of current and future variations of the climate system on the food sovereignty of Barrio El Rosario and La Esperanza Parish</t>
  </si>
  <si>
    <t>Impact reduction of current and future variations of the climate system on the food sovereignty of San Luis de Ichisi, Tabacundo Parish, through the permanent provision of water for irrigation</t>
  </si>
  <si>
    <t>Tabacundo</t>
  </si>
  <si>
    <t>Ensuring permanent endowment of water irrigation in order to reduce the impact of current and future variations of the climate system on the food security of the Community Larcapamba</t>
  </si>
  <si>
    <t>Juan Montalvo</t>
  </si>
  <si>
    <t>Cayambe</t>
  </si>
  <si>
    <t>Ensuring provision of water irrigation to reduce the impact on food sovereignty of current and future variations of the climate system, water losses during distribution and water pollution, to the neighborhoods Pro Mejoras Las Flores and El Carmen.</t>
  </si>
  <si>
    <t>Ascázubi</t>
  </si>
  <si>
    <t>Impact reduction of current and future variations of the Climatic system on the food sovereignty of the sectors of Guanto-San Carlos, Curiloma, Cariacu, San José de Ayora Parish, through the permanent provision of water irrigation.</t>
  </si>
  <si>
    <t xml:space="preserve">Ayora </t>
  </si>
  <si>
    <t>Ensuring permanent endowment of water irrigation in order to reduce the impact of current and future variations of the climate system on food sovereignty, Otoncito Commune.</t>
  </si>
  <si>
    <t>Otón</t>
  </si>
  <si>
    <t>Ensuring permanent endowment of water irrigation in order to reduce impact of current and future variations of the climate system on food sovereignty, Cangahuapungo Commune</t>
  </si>
  <si>
    <t>Cusubamba</t>
  </si>
  <si>
    <t>Ensuring permanent endowment of water irrigation in order to reduce the risk of provision permanent irrigation water to reduce the impact of current and future variations of the climate system on food sovereignty, La Chimba Community - Parish of Olmedo</t>
  </si>
  <si>
    <t>Olmedo</t>
  </si>
  <si>
    <t xml:space="preserve">Ensuring provision of water irrigation to reduce the impact of current and future variations of the climate system on food sovereignty by improving and expanding the irrigation system for Pitana Bajo community </t>
  </si>
  <si>
    <t>Cangahua</t>
  </si>
  <si>
    <t>MAE</t>
  </si>
  <si>
    <t xml:space="preserve">Irrigation system improvement and implementation of agroforestry orchards in communities with high vulnerability to drought in El Paraíso de Celén parish </t>
  </si>
  <si>
    <t>Paraíso de Celén</t>
  </si>
  <si>
    <t>Land irrigation improvement and implementation of agroforestry orchards to address climate change in communities with high vulnerability to drought in the parish of San Antonio de Manú</t>
  </si>
  <si>
    <t>Manu</t>
  </si>
  <si>
    <t>Optimization and capture of the water resource to face drought in order to guarantee the availability of food and the food security of vulnerable families and communities of Saraguro</t>
  </si>
  <si>
    <t>Cabecera Cantonal Saraguro</t>
  </si>
  <si>
    <t>Irrigation systems improvement in communities with high vulnerability to drought in the parish of San Sebastián de Yuluc, in order to generate conditions for Climate Change</t>
  </si>
  <si>
    <t>San Sebastián de Yuluc</t>
  </si>
  <si>
    <t xml:space="preserve">Implementation of forest pastures systems that promote sustainable production of older and younger animals that contribute to family food security </t>
  </si>
  <si>
    <t>Selva Alegre</t>
  </si>
  <si>
    <t>Irrigation systems improvement in communities of high vulnerability to drought of the parish of Sumaypamba, in order to generate conditions Climate Change adaptation</t>
  </si>
  <si>
    <t>Sumaypamba</t>
  </si>
  <si>
    <t>Use and management of solid and liquid bio-fertilizers that retain soil moisture in order to reduce climate change impacts that affect food security in the communities of El Tablón parish</t>
  </si>
  <si>
    <t>El Tablón</t>
  </si>
  <si>
    <t xml:space="preserve">Implementation of organic family gardens and irrigation land improvement to face climate change in San Antonio de Cumbre parish </t>
  </si>
  <si>
    <t xml:space="preserve">Cumbe </t>
  </si>
  <si>
    <t>CCRJ</t>
  </si>
  <si>
    <t>Irrigation improvement of water retention capacity in soil in communities with high vulnerability to drought</t>
  </si>
  <si>
    <t>Urdaneta</t>
  </si>
  <si>
    <t>Irrigation system improvement and family agroforestry orchards implementation in communities with high vulnerability to drought in Lluzhapa parish</t>
  </si>
  <si>
    <t>Lluzhapa</t>
  </si>
  <si>
    <t>Irrigation water optimization through improvement of conditions supply as an indispensable measure to guarantee food security against the effects of drought in the communities of Membrillo and Cochapamba</t>
  </si>
  <si>
    <t>San Pablo de Tenta</t>
  </si>
  <si>
    <t>Water pipes improvement (irrigation and drinking water consumption) and protection of Chillayacu River. Implementation of irrigation systems in high vulnerability communities to drought in order to generate conditions for climate change adaptation in Uzhcurrumi parish</t>
  </si>
  <si>
    <t>Uzhcurrumi</t>
  </si>
  <si>
    <t>Improving healthy eating habits, as a strategy to diversify family food production as a mechanism for climate change adaptation in communities with high vulnerability to frost in the parish Caña Quemada</t>
  </si>
  <si>
    <t>Caña Quemada</t>
  </si>
  <si>
    <t>Water management improvement (irrigation and consumption) in high vulnerability communities to the drought of the Casacay parish in order to generate conditions climate change adaptation with emphasis on food security</t>
  </si>
  <si>
    <t xml:space="preserve">Casacay </t>
  </si>
  <si>
    <t>Expansion of the drinking water system in the urban area of Pasaje in order to generate conditions for climate change adaptation with an emphasis on food security</t>
  </si>
  <si>
    <t>Cabecera Cantonal Pasaje</t>
  </si>
  <si>
    <t>Water sources protection in Chillayacu and Casacay basins and implementation of agroforestry orchards in communities with high vulnerability drought in order to generate conditions to climate change adaptation</t>
  </si>
  <si>
    <t>Cabecera Cantonal Chilla</t>
  </si>
  <si>
    <t>Irrigation systems improvement to face impacts of drought on the availability of water resources and food security as a strategy for climate change adaptation in Guanazan Parish</t>
  </si>
  <si>
    <t>Guanazán</t>
  </si>
  <si>
    <t>Improvement of water management for consumption and implementation of family agroforestry gardens in order to reduce the impacts of climate change on food security in the vulnerable communities of the Abañín parish</t>
  </si>
  <si>
    <t>Abañin</t>
  </si>
  <si>
    <t>Improvement and construction of water management systems for irrigation in communities with high vulnerability to drought in Pucará in order to generate conditions for adaptation to climate change with emphasis on food security</t>
  </si>
  <si>
    <t>Cabecera Cantonal Pucará</t>
  </si>
  <si>
    <t xml:space="preserve">Family agroforestry orchards implementation and management of minor animals as a strategy to diversify family nutrition as a mechanism for adapting to change Climate of the most vulnerable communities to the drought in San Rafael de Sharug parish </t>
  </si>
  <si>
    <t xml:space="preserve">Water sources protection and home gardens implementation in communities with high vulnerability to generate conditions to adapt to climate change in order to combat drought in the Susudel parish </t>
  </si>
  <si>
    <t>Susudel</t>
  </si>
  <si>
    <t>Improvement of the soil moisture retention capacity through the management and incorporation of solid and liquid bio supplies in agricultural zones of communities with high vulnerability to frost in the cantonal headland of the Canton of San Felipe de Oña</t>
  </si>
  <si>
    <t>Cabecera Cantonal Oña</t>
  </si>
  <si>
    <t xml:space="preserve">Wastewater systems implementation and drinking water supply improvement in order to contribute to food security in areas vulnerable to drought in San Fernando canton </t>
  </si>
  <si>
    <t>San Fernando Cabecera Cantonal</t>
  </si>
  <si>
    <t>Seeds and ecosystems management in communities with highly vulnerable to drought</t>
  </si>
  <si>
    <t>Chumblin</t>
  </si>
  <si>
    <t>Implementation and management of family gardens in high vulnerability communities to intense rains in the parish of La Asunción, to generate conditions to adapt to climate change</t>
  </si>
  <si>
    <t xml:space="preserve">La Asunción </t>
  </si>
  <si>
    <t>Improvement of soil water retention capacity and management of ecosystems in communities with high vulnerability to drought in the parish of San Gerardo</t>
  </si>
  <si>
    <t>San Gerardo</t>
  </si>
  <si>
    <t xml:space="preserve">Improvement of water irrigation, agroforestry and forest pasture systems in communities with high vulnerability to drought from Girón parish, in order to generate conditions for adaptation to climate change </t>
  </si>
  <si>
    <t xml:space="preserve">Cabecera Cantonal Girón
</t>
  </si>
  <si>
    <t xml:space="preserve">Improvement of land irrigation and management of minor animals in communities with high vulnerability to generate conditions to adapt to climate change, in order to tackle drought, in Carmen de Pijilí parish. </t>
  </si>
  <si>
    <t>El Carmen de Pijilí</t>
  </si>
  <si>
    <t>Improvement of the water purification system for human consumption as a strategy to improve the conditions of food security in the parish of "Abdón Calderón</t>
  </si>
  <si>
    <t>Abdón Calderón</t>
  </si>
  <si>
    <t>Seeds and water sources management in communities with high vulnerability to drought in Shaglli Parish</t>
  </si>
  <si>
    <t>Shaglly</t>
  </si>
  <si>
    <t>Improvement of community irrigation infrastructure, technical and productive capacities of the farmers of the upper, middle and lower areas of the Cochapata parish, against adverse effects caused by the drought.</t>
  </si>
  <si>
    <t>Cochapata</t>
  </si>
  <si>
    <t>Water sources protection, improvement of water conduction networks for water irrigation and implementation and improvement of family agroforestry orchards, in communities with high vulnerability to drought in Nabón</t>
  </si>
  <si>
    <t>Cabecera Cantonal Nabón</t>
  </si>
  <si>
    <t>Improvement of agricultural production systems through agroforestry practices as a mechanism for adaptation to climate change and the impacts of drought on crop cycles and yields in El Progreso Parish</t>
  </si>
  <si>
    <t>El Progreso</t>
  </si>
  <si>
    <t>Improvement of water retention capacity in the soil with emphasis in community’s agricultural areas that have high vulnerability to drought.</t>
  </si>
  <si>
    <t>Las Nieves</t>
  </si>
  <si>
    <t>Closure</t>
  </si>
  <si>
    <t>Execution</t>
  </si>
  <si>
    <t>Procurement</t>
  </si>
  <si>
    <t>Base Line</t>
  </si>
  <si>
    <t>Socialization and targeting</t>
  </si>
  <si>
    <t>Design</t>
  </si>
  <si>
    <t>Identification</t>
  </si>
  <si>
    <t>Begin Date</t>
  </si>
  <si>
    <t>Approval Date</t>
  </si>
  <si>
    <t>Province</t>
  </si>
  <si>
    <t>Phase of Design / Implementation</t>
  </si>
  <si>
    <t>Dates</t>
  </si>
  <si>
    <t>Executing Partner</t>
  </si>
  <si>
    <t>Amount</t>
  </si>
  <si>
    <t>Description</t>
  </si>
  <si>
    <t>PARISH</t>
  </si>
  <si>
    <t>ANNEX 2 - STATUS OF CONCRETE ADAPTATION MEASURES</t>
  </si>
  <si>
    <t>GADP</t>
  </si>
  <si>
    <t>Parroquias con medidas en implementación</t>
  </si>
  <si>
    <t>Impact reduction of current and future variations of the climate system on the food sovereignty of the Florencia community, Tupigachi parish, through the permanent provision of water for irrigation</t>
  </si>
  <si>
    <t>Impact reduction of current and future variations of the climate system on the food security of the irrigation and drainage water management board Cochasquí, through the permanent provision of water for irrigation</t>
  </si>
  <si>
    <t>Assurance of the permanent endowment of irrigation water to reduce the impact of current and future variations of the climate system on food sovereignty Asociación Río Blanquillo, of the cantonal capital of Cayambe.</t>
  </si>
  <si>
    <t>Official letter sent by the GAD of Sinsao in which they declare that they do not have the resources to participate in the FORECCSA project.</t>
  </si>
  <si>
    <t>An letterin which the President of the GAD of Zaruma proposes to invest in his rural parishes Guanazán and Abañin, but not in the cantonal capital</t>
  </si>
  <si>
    <t>Acquisition of materials and supplies that allow the optimal operation of the third reservoir of the irrigation system of the San Tomás basin</t>
  </si>
  <si>
    <t>Rehabilitation of critical sections of the Bolarrumi community irrigation system, to generate adaptation conditions in the face of drought, with emphasis on food security.</t>
  </si>
  <si>
    <t>Rehabilitation of critical sections of the community irrigation system "Jubones Desert", Santa Isabel Cantonal Head, to generate adaptation conditions in the face of drought, with emphasis on food security.</t>
  </si>
  <si>
    <t xml:space="preserve"> 
Approval</t>
  </si>
  <si>
    <t>No. Families
reached</t>
  </si>
  <si>
    <t>No. Families
planned</t>
  </si>
  <si>
    <t xml:space="preserve">PROJECT PRESS RELEASES - FORECCSA 2017
</t>
  </si>
  <si>
    <t xml:space="preserve">No. </t>
  </si>
  <si>
    <t xml:space="preserve">DATE </t>
  </si>
  <si>
    <t>TYPE</t>
  </si>
  <si>
    <t xml:space="preserve">CATEGORY </t>
  </si>
  <si>
    <t xml:space="preserve">MEDIA </t>
  </si>
  <si>
    <t xml:space="preserve">SECTION </t>
  </si>
  <si>
    <t xml:space="preserve">NEWS HOLDER </t>
  </si>
  <si>
    <t>SUMMARY</t>
  </si>
  <si>
    <t>LINK</t>
  </si>
  <si>
    <t>1</t>
  </si>
  <si>
    <t>01/01/2017</t>
  </si>
  <si>
    <t>Digital</t>
  </si>
  <si>
    <t>International</t>
  </si>
  <si>
    <t>WFP - ES</t>
  </si>
  <si>
    <t>PUBLICATIONS</t>
  </si>
  <si>
    <t>Annual Report Ecuador:2016</t>
  </si>
  <si>
    <t>http://es.wfp.org/content/ecuador-informe-anual-2016</t>
  </si>
  <si>
    <t>EXPOSURE</t>
  </si>
  <si>
    <t xml:space="preserve">The climate is changing and we are adapting </t>
  </si>
  <si>
    <t>https://wfp-es.exposure.co/f3724c741776b70912c2336e95edae72?more=true</t>
  </si>
  <si>
    <t>Print</t>
  </si>
  <si>
    <t xml:space="preserve">Local </t>
  </si>
  <si>
    <t>OPINION   (MACHALA)</t>
  </si>
  <si>
    <t>PROVINCE</t>
  </si>
  <si>
    <t>Ministry of Environment executes project</t>
  </si>
  <si>
    <t>MAE runs the FORECCSA project which aims to reduce the vulnerability of communities and ecosystems to the adverse effects of climate change.</t>
  </si>
  <si>
    <t>OPINIÓN (MACHALA)</t>
  </si>
  <si>
    <t xml:space="preserve">With parade and solemn session Uzhcurrumi celebrated anniversary </t>
  </si>
  <si>
    <t>FORECCSA project gave recognition to the GAD of Uzhcurrumi for its anniversary of parochialization</t>
  </si>
  <si>
    <t>https://issuu.com/opinion_digital/docs/impreso_23_01_17</t>
  </si>
  <si>
    <t>EL MERCURIO (CUENCA)</t>
  </si>
  <si>
    <t>SECTION A</t>
  </si>
  <si>
    <t>Several projects to adapt to climate change are underway</t>
  </si>
  <si>
    <t>https://www.elmercurio.com.ec/587239-en-marcha-varios-proyectos-de-adaptacion-al-cambio-climatico/</t>
  </si>
  <si>
    <t>MI REGIÓN (SARAGURO)</t>
  </si>
  <si>
    <t>Ministries of Environment and Agriculture works to adapt to climate change</t>
  </si>
  <si>
    <t>The National Government, in line with the priorities defined in the National Plan for Good Living, implements concrete actions to combat climate change through the FORECCSA Project.</t>
  </si>
  <si>
    <t>https://issuu.com/miregionec/docs/mi_regio__n_saraguro</t>
  </si>
  <si>
    <t xml:space="preserve">National </t>
  </si>
  <si>
    <t>EL TELÉGRAFO</t>
  </si>
  <si>
    <t>SOCIETY</t>
  </si>
  <si>
    <t>Festival against climate change in Tabacundo</t>
  </si>
  <si>
    <t>http://www.eltelegrafo.com.ec/noticias/sociedad/4/festival-para-enfrentar-el-cambio-climatico-se-realizo-en-tabacundo</t>
  </si>
  <si>
    <t>EL TIEMPO (CUENCA)</t>
  </si>
  <si>
    <t>An Andean flavors festival for water</t>
  </si>
  <si>
    <t>A festival of Andean flavors in favor of water. The meeting linked the ancestral gastronomy with the vital liquid.</t>
  </si>
  <si>
    <t>http://www.escopusa.com/escopusa/web.resources/escopusa.media.get.php?filename=WFV%2bgeYG2i0Ke4GgJfolIw%3d%3d&amp;id=XE02Ay00YhDWHk%2b2Uvb7ZA%3d%3d</t>
  </si>
  <si>
    <t>Cochapata water system rehabilitated</t>
  </si>
  <si>
    <t>MAE, through the project Strengthening the resilience of the communities and the adverse effects of climate change, with emphasis on food security in the Jubones River basin and Pichincha Province, FORECCSA, provided support to the community.</t>
  </si>
  <si>
    <t>http://www.eltiempo.com.ec/noticias/cuenca/2/412970/sistema-de-agua-de-cochapata-rehabilitado</t>
  </si>
  <si>
    <t xml:space="preserve">Print </t>
  </si>
  <si>
    <t xml:space="preserve">Festival against climate change in Saraguro </t>
  </si>
  <si>
    <t>http://www.escopusa.com/visor/noticia_.php?id=ghl69s27sDQO33AiPJZ2Og%3d%3d&amp;filename=RSSgfXxJ%2boqUIRVTTipHOQ%3d%3d</t>
  </si>
  <si>
    <t>LA HORA (LOJA)</t>
  </si>
  <si>
    <t>SECCIÓN A</t>
  </si>
  <si>
    <t>In Saraguro knowledge and flavors are found against climate change</t>
  </si>
  <si>
    <t>http://www.escopusa.com/visor/noticia_.php?id=0c0Nc3tG5GA1Ie6RiV74SA%3d%3d&amp;filename=xuYuBjscAM3LzbhASs10zQ%3d%3d</t>
  </si>
  <si>
    <t>SECTION B</t>
  </si>
  <si>
    <t>Festival of andean knowledge and flavors</t>
  </si>
  <si>
    <t>According to Paúl Guanuche, president of the Parish Council of Cochapata, "through the FORECCSA project we managed to put into operation three macro reservoirs of our parish. For 30 years it has been the desire to take advantage of them to guarantee water in the lower area, where the five driest communities are located "</t>
  </si>
  <si>
    <t>http://www.escopusa.com/visor/noticia_.php?id=nMRP27mJ9M7TTOZsa2%2bXqQ%3d%3d&amp;filename=oHpcCIojm5PxPfloor3ULg%3d%3d</t>
  </si>
  <si>
    <t>LA HORA NACIONAL (SECCIÓN B)</t>
  </si>
  <si>
    <t xml:space="preserve">Water gives life to the populations of the de Jubones desert </t>
  </si>
  <si>
    <t>In Seucer Bajo, in the canton of Lluzhapa, in Loja, crops sprinkled by water from natural springs that traveled 20 km before reaching a reservoir that was half built 15 years ago, but now operates thanks to the Foreccsa project, germinate. of the Ministry of the Environment.</t>
  </si>
  <si>
    <t>http://www.escopusa.com/visor/noticia_.php?id=R3HPePF1gfFXOWoKdES%2f%2bA%3d%3d&amp;filename=gnPeafbL6533%2bJ0EOpZKeQ%3d%3d</t>
  </si>
  <si>
    <t>EL COMERCIO</t>
  </si>
  <si>
    <t>An oasis return life to the populations of the south zone of Ecuador</t>
  </si>
  <si>
    <t>http://www.escopusa.com/visor/noticia_.php?id=OYhRgbXk4hx8dNfZca2HJg%3d%3d&amp;filename=eGJEJCyUprbx4%2f0JAjTN1A%3d%3d</t>
  </si>
  <si>
    <t>EL UNIVERSO</t>
  </si>
  <si>
    <t>LIFE AND STYLE</t>
  </si>
  <si>
    <t>Festival of knowledge against climate change</t>
  </si>
  <si>
    <t>http://www.escopusa.com/visor/noticia_.php?id=DYpU3Zy%2bgOxbNt1PqQrVSg%3d%3d&amp;filename=QknFqjTK40xOSkgVx23RCA%3d%3d</t>
  </si>
  <si>
    <t>Meeting: Festival of knowledge Saraguro</t>
  </si>
  <si>
    <t xml:space="preserve">Saraguro: The festival 'Andean knowledge and flavors to face climate change' in the Jubones river basin, developed in the Saraguro Municipal Coliseum, brought together the delegations of 34 municipalities and parochial boards of Loja, Azuay and El Oro to the implementation of adaptation measures, through the Foreccsa project._x000D_
                                                                    _x000D_
At the end of the event, Deputy Minister María Eulalia Pozo gave the presidents of the GAD a recognition for their commitment and coordinated work. One of those who received the recognition was Enrique Doto, president of Sumaypamba, who supported community irrigation systems. </t>
  </si>
  <si>
    <t>http://www.escopusa.com/visor/noticia_.php?id=d1LnLGxZ4J3IbaSm6ownDQ%3d%3d&amp;filename=WoFbyYI%2bOoNvRdWQ2rmAhQ%3d%3d</t>
  </si>
  <si>
    <t>LA MAREA (MANABI)</t>
  </si>
  <si>
    <t>An ancestral herbalist</t>
  </si>
  <si>
    <t>The Ministry has invested more than 3 million dollars to benefit 10,814 families, thanks to the implementation of 35 adaptation measures related to community and parcel irrigation, drinking water, protection of water sources, silvopastures, raising of small animals and orchards.</t>
  </si>
  <si>
    <t>http://www.escopusa.com/visor/noticia_.php?id=qvhXg%2fUH3PsUI5m8zpLRuA%3d%3d&amp;filename=jaBlQj%2f%2fopz5BK7Y2ADNvw%3d%3d</t>
  </si>
  <si>
    <t>EL DIARIO (PORTOVIEJO)</t>
  </si>
  <si>
    <t>Intercultural: an ancestral herbalist</t>
  </si>
  <si>
    <t xml:space="preserve">The Ministry of the Environment has invested more than 3 million dollars to benefit 10,814 families, thanks_x000D_ to the implementation of 35 adaptation measures related to community and parcel irrigation, drinking water, protection of water sources, silvopastures, raising of small animals and orchards. </t>
  </si>
  <si>
    <t>http://www.escopusa.com/visor/noticia_.php?id=hmARZfR9aezW8xAJwQWsoA%3d%3d&amp;filename=oRMJR7lgolvPmH%2fjo%2bsigg%3d%3d</t>
  </si>
  <si>
    <t>Festival about climate change</t>
  </si>
  <si>
    <t>More than 3,000 people participated in the Festival of Andean Knowledge and Flavors, an event organized by the Ministry of the Environment (MAE), with the participation of delegations of the 34 Decentralized Autonomous Governments (GAD). The event was organized between municipalities and parish governments of the provinces of Azuay, Loja and El Oro, which have been promoting projects to face climate change.
The participating authorities include: the Vice-Minister of the Environment María Eulalia Pozo; the Governor of Loja, Eduardo Jaramillo; the mayor of Saraguro, Abel Sarango; the undersecretary of Climate Change (MAE), María Victoria Chiriboga; Zone Coordinator 6 of the MAE, Juan Pablo Rivera; zonal coordinator 7 of the MAE, Vladimir Placencia; provincial director of the MAG of Loja, Alex Quizhpe; national official of the World Food Program (WFP), Carmen Galarza; the mayor of Nabón, Magali Quezada, among others.</t>
  </si>
  <si>
    <t>http://www.escopusa.com/visor/noticia_.php?id=0ctklkV9G%2bWVdBxplyzniA%3d%3d&amp;filename=XOIgFobZeWCdg2OSd3PRlQ%3d%3d</t>
  </si>
  <si>
    <t>SEMANARIO LIDERES</t>
  </si>
  <si>
    <t>The indigenous medicine legacy</t>
  </si>
  <si>
    <t xml:space="preserve">Headache, insomnia, burning in the throat, cold, colic, high cholesterol, fever, are ailments that are billed for several dollars at any commercial pharmacy, but in Ecuador can be cured with 32 grams of 21 herbs in a package valued at USD 0.50.The small package contains plants of lemon balm, mint, chamomile, plantain, escancel, borage, cedrón, cucharillo, linseed and other traditional herbs of the country, but, above all, contains a historical legacy of indigenous medicinal knowledge ._x000D_
The Ministry has invested more than USD3 million to benefit 10 814 families, with the implementation of 35 adaptation measures related to community and parcel irrigation, drinking water, protection of water sources, silvopastures, raising of small animals and orchards. </t>
  </si>
  <si>
    <t>http://www.escopusa.com/visor/noticia_.php?id=CZiiOLisjc0aCYC33IG9kg%3d%3d&amp;filename=TofNXqOP6ku1FRLkA7XwMg%3d%3d</t>
  </si>
  <si>
    <t>EL NACIONAL (MACHALA)</t>
  </si>
  <si>
    <t xml:space="preserve">Zones of the Jubones river basin shows its agricultural potencial </t>
  </si>
  <si>
    <t xml:space="preserve">Representatives of 35 decentralized autonomous governments of the Jubones river basin (El Oro, Azuay and Loja) met at the" Festival of Andean Tastes and Flavors "at the Saraguro Municipal Coliseum.
The activity was in charge of the Ministry of the Environment, through the FÓRECCSA project, and the Ministry of Agriculture and Livestock (MAG). It counted on the support of the Municipal Autonomous Decentralized Government of the canton Saraguro.
The MAG - through its technical team presented in a stard the programs and projects that run in the canton. In this space he participates with producers of the sector, who exposed their local production.
Producers exchanged experiences on the positive results of the implemented measures, of adaptation to climate change. </t>
  </si>
  <si>
    <t>http://www.escopusa.com/visor/noticia_.php?id=22T9rqNg6h6WpdSNThgBVA%3d%3d&amp;filename=4KPZtoNG%2bm6DF6CoOpW7LA%3d%3d</t>
  </si>
  <si>
    <t>Government of Pichincha and World Food Program extends their agreement</t>
  </si>
  <si>
    <t xml:space="preserve">The government of Pichincha and the World Food Program (WFP) signed an inter-institutional cooperation agreement.
  The prefect Gustavo Baroja (photo) and Karine Nicole A. Strebelle, officer in charge of the PMA participated in the act of signing the agreement.
The document extends the provision of services by the UN agency in the framework of implementation of the Foreccsa project.
The objective is to reduce vulnerability to the adverse effects of climate change and the food security of the communities.
Pichincha finances the cost of services for $ 584,003. </t>
  </si>
  <si>
    <t>http://www.escopusa.com/visor/noticia_.php?id=oPNG8nnNWchm2yqRQZjo6w%3d%3d&amp;filename=CaBtKlIf%2bL0jKcyhiuj2Fw%3d%3d</t>
  </si>
  <si>
    <t>Tripartite project became reality</t>
  </si>
  <si>
    <t>The Foreccsa Project of the Ministry of the Environment, municipality and AGUAPAS EP inaugurated the expansion of the potable water network from the Rosa de Oro site to San Antonio de Chaguana in an act carried out in that rural area of Pasajeña in previous days.
The work, according to Opinion the newspaper of greater circulation, benefits more than one hundred and forty families that now have the vital liquid in their homes thanks
to the tripartite agreement of the aforementioned entities. "</t>
  </si>
  <si>
    <t>http://www.escopusa.com/visor/noticia_.php?id=eN6wkhOL%2bJp8pnK48I3JBA%3d%3d&amp;filename=sANkUDbCeB%2bzPAbhTAxaZw%3d%3d</t>
  </si>
  <si>
    <t>Inaugurate work of drinking water</t>
  </si>
  <si>
    <t>The Foreccsa Project of the Ministry of Environment, Mayor of Pasaje and AGUAPAS EP inaugurated the expansion of the potable water network from the Rosa de Oro site to San Antonio de Chaguana, which benefits more than 140 families that now have the vital liquid In their homes, the residents thanked the entities that worked in a tripartite manner._x000D_
_x000D_
Vilma Romero, president of the community, said that for many years the inhabitants of San Antonio de Chaguana waited for the work of drinking water. Thanks to the Foreccsa project."</t>
  </si>
  <si>
    <t>http://www.escopusa.com/visor/noticia_.php?id=cgq7syb4juQNtRAX5O%2bUbw%3d%3d&amp;filename=tG5MKRoCOQCxm2PGnxZ7qA%3d%3d</t>
  </si>
  <si>
    <t>Radio</t>
  </si>
  <si>
    <t>RADIO PÚBLICA DE ECUADOR</t>
  </si>
  <si>
    <t>ECUADOR IN MOVEMENT</t>
  </si>
  <si>
    <t>Achievement of FORECCSA project</t>
  </si>
  <si>
    <t>Carmen Galarza, who participated in the design and construction of the FORECCSA Project in the Jubones River Basin and the province of Pichincha, pointed out that the Ministry of the Environment (MAE) and the World Food Program (WFP) bet on the project.</t>
  </si>
  <si>
    <t>http://www.escopusa.com/visor/noticia_.php?id=jhK%2fg7JlYF%2b6ue06GVwNNw%3d%3d&amp;filename=lF7JmLim7vEtZQ3nhpoDBg%3d%3d</t>
  </si>
  <si>
    <t xml:space="preserve">Agency </t>
  </si>
  <si>
    <t>CORRESPONSABLES</t>
  </si>
  <si>
    <t>GOOD GOVERNMENT</t>
  </si>
  <si>
    <t>MAE and Local Governments seek to contrary the effects of climate change</t>
  </si>
  <si>
    <t xml:space="preserve">
Washington Muñoz, president of GAD Abdón Calderón of the province of Azuay, said that in his town has installed a water purification plant, which together with the protection of water sources benefits more than 350 families.
On the other hand, Tarsicio Granizo, emphasized that this State Portfolio, through FORECCSA, works to counteract the effects of climate change, in order to guarantee sovereignty and food security and gender, highlighting that one of the innovative initiatives of the project is " the empowerment of the role and work of women in the field and in the production of food ".</t>
  </si>
  <si>
    <t>http://www.escopusa.com/visor/noticia_.php?id=A0XnW0A9fbujDIClSFSkNA%3d%3d&amp;filename=iiGKmEun0yxFX7ELk5hOTA%3d%3d</t>
  </si>
  <si>
    <t>EL CIUDADANO</t>
  </si>
  <si>
    <t>NEWS</t>
  </si>
  <si>
    <t xml:space="preserve">A festival for share experiences about climate change </t>
  </si>
  <si>
    <t>Representatives of 35 Decentralized Autonomous Governments (GAD) of the Jubones river basin (El Oro, Azuay and Loja), will meet this September 28, in the "Festival of Andean Knowledge and Flavors to face the Climate Change", which will take place at the Saraguro Municipal Coliseum (Loja), from 10 am. This meeting seeks to exchange experiences on the positive results of the adaptation measures implemented by the Ministry of Environment (MAE), through the FORECCSA Project, and in turn, provide recognition to the leadership of the GADs for the execution of these actions, which they counteract the effects of climate change on food sovereignty in the most vulnerable communities.</t>
  </si>
  <si>
    <t>http://www.escopusa.com/visor/noticia_.php?id=xObANIMW99Lwkh3YHCsfMw%3d%3d&amp;filename=vRV8Vxi70nMDC375RwtjlQ%3d%3d</t>
  </si>
  <si>
    <t>AGENCIA ANDES</t>
  </si>
  <si>
    <t>With festival, the communities of south Ecuador are aware of climate change</t>
  </si>
  <si>
    <t>Thousands of inhabitants of the communities of the south of the country concentrated in the canton Saraguro Loja, in the province of Loja (south), to participate in the Andean knowledge and tastes Festival to face climate change. The event took place between ancestral manifestations, reflections on climate change and the recognition of coordinated work between the Ministry of the Environment and the municipalities of the southern provinces of Loja, Azuay and El Oro. "We have a great responsibility with the future of our societies, we are the guardians of water, we are the guardians of life, "said Abel Sarango, mayor of Saraguro. The Environment Portfolio develops the Foreccsa project in the area, which aims to promote community and parcel irrigation, the protection of water sources, silvopastures, the raising of small animals and agroecological gardens. This plan has benefited more than 10 thousand families in the rural areas of the south who suffer from the scarcity of water resources, said Maria Eulalia Pozo, Vice Minister of the Environment.</t>
  </si>
  <si>
    <t>http://www.escopusa.com/visor/noticia_.php?id=pKMW9dcgaw4l7%2b4yp%2brfew%3d%3d&amp;filename=pvxcj615f%2fTIiwhFF1eGhA%3d%3d</t>
  </si>
  <si>
    <t>CORAPE</t>
  </si>
  <si>
    <t>In Saraguro the festival of andean knowledge and flavors is developed with the presence of local ministers and authorities</t>
  </si>
  <si>
    <t>In Saraguro the Festival of Andean Knowledge and Flavors is held with the presence of ministers and local authorities. The objective of the event is to strengthen the work of the agricultural sector to face climate change.</t>
  </si>
  <si>
    <t>http://www.escopusa.com/visor/noticia_.php?id=%2bBHWJ3sXhYbfB6eLpcuySg%3d%3d&amp;filename=YGx7TRFyQoBon2Yn%2bysl7w%3d%3d</t>
  </si>
  <si>
    <t>INFORMATE Y PUNTO</t>
  </si>
  <si>
    <t>COVER</t>
  </si>
  <si>
    <t>More than 3.000 people participated in the festival of andean knowledge and flavors.</t>
  </si>
  <si>
    <t>The inhabitants of the communities of the south of the country, gathered at the Saraguro Municipal Coliseum, Loja, to be part of the "Andean knowledge and tastes festival to face climate change in the Jubones river basin". The event took place between ancestral manifestations, reflections on climate change and recognition of the coordinated work between the Ministry of the Environment (MAE) and 34 Decentralized Autonomous Governments of the provinces of Loja, Azuay and El Oro, for the implementation of adaptation measures, through the FORECCSA project. "It is a day to celebrate, it is a day to commit ourselves, public policy is built with the people", with these words, María Eulalia Pozo, Vice Minister of the Environment, addressed the indigenous and peasant delegations that participated in the Festival. He also highlighted that the actions led by this State Portfolio, through the FORECCSA project, "are a demonstration that when you share your objectives, through dialogue, you build shared visions that benefit everyone".</t>
  </si>
  <si>
    <t>http://www.escopusa.com/visor/noticia_.php?id=qqj%2fFHfeO5a1s1CJuINfzQ%3d%3d&amp;filename=8RxMJLvEeIgp51AGxWwMtQ%3d%3d</t>
  </si>
  <si>
    <t>W RADIO (PANAMÁ)</t>
  </si>
  <si>
    <t>Almost two hours on a second-order path, decorated by tropical and Andean landscapes, end in an oasis surrounded by a desert in Ecuador, where farmers challenge the effects of climate change thanks to a reservoir, from which life comes from a fenced hill by mountains.</t>
  </si>
  <si>
    <t>http://www.wradio.com.co/noticias/economia/oasis-devuelve-la-esperanza-a-campesinos-acorralados-por-desierto-en-ecuador/20170930/nota/3595382.aspx</t>
  </si>
  <si>
    <t>ECUADOR NEWS</t>
  </si>
  <si>
    <t>http://ecuador.shafaqna.com/ES/EC/360873</t>
  </si>
  <si>
    <t>A total of 30 publications were made on this day, more than 2000 people nationwide through twitter learned about the activity organized by the FORECCSA project.</t>
  </si>
  <si>
    <t>#CambioClimático</t>
  </si>
  <si>
    <t>Andean knowledge and flavors festival</t>
  </si>
  <si>
    <t>Twitter</t>
  </si>
  <si>
    <t>A twitter campaign was carried out to inform citizens of the signing of 8 interagency agreements with GAD de Jubones. In this campaign, the result was: 287,067 people interacted; posted 689 times; 812,558 people saw the different arts that were made for the campaign; and 208 users shared the publications.</t>
  </si>
  <si>
    <t>#CambioClimáticoEc</t>
  </si>
  <si>
    <t>Signature of agreements in Arenilla</t>
  </si>
  <si>
    <t>Publications have been made in the official networks of the Ministry of the Environment: 150 publications in twtiter and 50 publications in facebook</t>
  </si>
  <si>
    <t>FORECCSA, #foreccsa.</t>
  </si>
  <si>
    <t>FORECCSA activities</t>
  </si>
  <si>
    <t>Twitter y Facebook</t>
  </si>
  <si>
    <t>27/01/2017 al 01/12/0217</t>
  </si>
  <si>
    <t>HASHTAG</t>
  </si>
  <si>
    <t>SOCIAL NETWORKS</t>
  </si>
  <si>
    <t xml:space="preserve">From the morning of Thursday, September 28, 2017, thousands of inhabitants of the communities of the south of the country, gathered at the Saraguro Municipal Coliseum, Loja, to be part of the "Festival Andean tastes and flavors to face climate change in the Jubones river basin". </t>
  </si>
  <si>
    <t>http://www.ambiente.gob.ec/mas-de-3-000-personas-participaron-en-el-festival-de-saberes-y-sabores-andinos-para-enfrentar-al-cambio-climatico/</t>
  </si>
  <si>
    <t>More than 3,000 people participated in the Festival of Andean Knowledge and Flavors to face climate change</t>
  </si>
  <si>
    <t>Representatives of 35 Decentralized Autonomous Governments (GAD) of the Jubones river basin (El Oro, Azuay and Loja), will meet this September 28, in the "Festival of Andean Knowledge and Flavors to face the Climate Change", which will take place at the Saraguro Municipal Coliseum (Loja), from 10 am.</t>
  </si>
  <si>
    <t>http://www.ambiente.gob.ec/un-festival-para-compartir-experiencias-sobre-cambio-climatico/</t>
  </si>
  <si>
    <t>A festival to share experiences on climate change</t>
  </si>
  <si>
    <t>On August 17, 2017, in Arenillas province of El Oro, the Minister of the Environment, Tarsicio Granizo, will sign seven cooperation agreements to execute the Strengthening, Sustainability and Closure Plans (PFSC), of the adaptation measures to climate change with emphasis on food security, which are implemented in seven parishes of the Jubones river basin, which cover the provinces of Loja, Azuay and El Oro.</t>
  </si>
  <si>
    <t>http://www.ambiente.gob.ec/ministerio-del-ambiente-fortalece-lazos-de-cooperacion-para-luchar-contra-el-cambio-climatico/</t>
  </si>
  <si>
    <t>Ministry of the Environment strengthens cooperation ties to fight against climate change</t>
  </si>
  <si>
    <t>The Ministry of the Environment (MAE), in agreement with the Local Governments, leads the execution of the FORECCSA project in cooperation with the Ministry of Agriculture (MAG) and the technical assistance of the United Nations World Food Program (WFP). This project is financed with resources from the Adaptation Fund.</t>
  </si>
  <si>
    <t>http://www.ambiente.gob.ec/ministerio-del-ambiente-recibe-reconocimientos-por-la-ejecucion-del-proyecto-foreccsa-en-el-sur-del-pais/</t>
  </si>
  <si>
    <t>Ministry of the Environment receives recognition for the execution of the FORECCSA project in the south of the country</t>
  </si>
  <si>
    <t>We thank the FORECCSA project, because in desert areas we can see a big change, now those dry areas are productive", with these words Magali Quezada Minga, mayor of the Nabón canton, in Azuay, highlighted the work that the Ministry of the Environment has done in the sector, and delivered the Second Honor Mention "Remigio Ochoa", in the framework of the Solemn Session for the Thirtieth Anniversary of Cantonización de Nabón.</t>
  </si>
  <si>
    <t>http://www.ambiente.gob.ec/nabon-entrego-reconocimiento-al-ministerio-del-ambiente/</t>
  </si>
  <si>
    <t>Nabón gave recognition to the Ministry of the Environment</t>
  </si>
  <si>
    <t>11/07/207</t>
  </si>
  <si>
    <t>On July 7, the Ministry of the Environment will receive the second honorable mention "Vinicio Ochoa" in recognition of the actions implemented by the FORECCSA project, which have strengthened the social and economic development of the population of the Nabón canton in Azuay. This award will be delivered by Magali Quezada Minga, maximum representative of the Local Municipal Autonomous Decentralized Government (GAD).</t>
  </si>
  <si>
    <t>http://www.ambiente.gob.ec/proyecto-de-adaptacion-al-cambio-climatico-recibe-reconocimiento-por-su-labor-en-el-canton-nabon/</t>
  </si>
  <si>
    <t>Project of adaptation to climate change receives recognition for its work in the canton Nabón</t>
  </si>
  <si>
    <t>More than 400 families that live in the parish of Cochapata, Azuay, benefit from the rehabilitation and improvement of the irrigation water system. The work was inaugurated on May 12, 2017 and is part of the measures of adaptation to climate change implemented by the Ministry of Environment (MAE), through the project "Strengthening the resilience of communities to the adverse effects of climate change with emphasis on food security in the Jubones River basin and Pichincha Province "(FORECCSA).</t>
  </si>
  <si>
    <t>http://www.ambiente.gob.ec/ministerio-del-ambiente-rehabilita-sistema-de-riego-de-comunidades-azuayas/</t>
  </si>
  <si>
    <t>Ministry of the Environment invests in adaptation measures for climate change</t>
  </si>
  <si>
    <t>Around 1,200 people attended the Festival of Andean Knowledge and Flavors in order to face the climate change. The event took place March 25th at the Convention Center of the Pedro Moncayo canton.</t>
  </si>
  <si>
    <t>http://www.ambiente.gob.ec/tabacundo-fue-el-escenario-del-festival-saberes-y-sabores-andinos-para-enfrentar-el-cambio-climatico/</t>
  </si>
  <si>
    <t>Tabacundo was the stage for the Andean knowledge and flavors fest to face climate change.</t>
  </si>
  <si>
    <t>On March 22 and 23, María Victoria Chiriboga, Undersecretary of Climate Change of the Ministry of the Environment (MAE) met with beneficiaries of the project "Strengthening the resilience of communities to the adverse effects of climate change with emphasis on food security and considerations of gender "(FORECCSA) that runs in the province of Azuay. The purpose of the meeting was to learn about the results of management experiences related to climate change.</t>
  </si>
  <si>
    <t>http://www.ambiente.gob.ec/17-medidas-de-adaptacion-al-cambio-climatico-se-ejecutan-en-azuay/</t>
  </si>
  <si>
    <t>17 measures of adaptation to climate change are implemented in Azuay</t>
  </si>
  <si>
    <t>NEWS PUBLISHED IN THE OFICIAL WEB SITE OF THE MINISTRY OF ENVIRONMENT - 2017</t>
  </si>
  <si>
    <t>The main reasons for the gap between planned and actual amounts were: a) the set up of the new mechanism for execution of adaptation measures in Jubones; b) Changes in authorities at national level; c) new mechanism for procurement of engineering services at WFP; and d) achievement of cash co-financing from MAE.</t>
  </si>
  <si>
    <t>There was a delay in the acquisition of goods and services that affected the planning for budget execution, as a result of this all activities have been reprogrammed.</t>
  </si>
  <si>
    <t>% spent</t>
  </si>
  <si>
    <t>Reason for over or underspending</t>
  </si>
  <si>
    <t>Difference (negative figure indicates amount overspent)</t>
  </si>
  <si>
    <t>ACTUAL EXPENSE</t>
  </si>
  <si>
    <t xml:space="preserve">ANNEX 5 - Explanatory notes on variances between planned and actual expenditures of outputs during the reporting period </t>
  </si>
  <si>
    <t xml:space="preserve">2 semanas </t>
  </si>
  <si>
    <t>Porcentaje</t>
  </si>
  <si>
    <t>Suma</t>
  </si>
  <si>
    <t>Percentage</t>
  </si>
  <si>
    <t>Sum</t>
  </si>
  <si>
    <t>Subotal El Oro</t>
  </si>
  <si>
    <t xml:space="preserve">Pasaje </t>
  </si>
  <si>
    <t>Chilla</t>
  </si>
  <si>
    <t>Zaruma</t>
  </si>
  <si>
    <t>Subtotal Loja</t>
  </si>
  <si>
    <t>Saraguro</t>
  </si>
  <si>
    <t xml:space="preserve">           </t>
  </si>
  <si>
    <t xml:space="preserve">  </t>
  </si>
  <si>
    <t>Subotal Azuay</t>
  </si>
  <si>
    <t>Sharug</t>
  </si>
  <si>
    <t>Pucará</t>
  </si>
  <si>
    <t>San Fernando</t>
  </si>
  <si>
    <t>Camilo Ponce Enríquez</t>
  </si>
  <si>
    <t>Santa Isabel</t>
  </si>
  <si>
    <t>Girón</t>
  </si>
  <si>
    <t>Oña</t>
  </si>
  <si>
    <t>Nabón</t>
  </si>
  <si>
    <t>With the PFSC</t>
  </si>
  <si>
    <t>Before PFSC</t>
  </si>
  <si>
    <t>Woth the PFSC</t>
  </si>
  <si>
    <t>%</t>
  </si>
  <si>
    <t>balance according to the balance matrix</t>
  </si>
  <si>
    <t>USD</t>
  </si>
  <si>
    <t>Total Sistema Commuty Anti frost</t>
  </si>
  <si>
    <t>Anti frost + Pluviomter () 
(Equip, Instalación, Capacitación, Monitoreo)</t>
  </si>
  <si>
    <t>Subtotal Protection of Water Sources</t>
  </si>
  <si>
    <t>Protection of Sources</t>
  </si>
  <si>
    <t>Subtotal Drinking Water Systems Improvement</t>
  </si>
  <si>
    <t>Storage and Distribution System</t>
  </si>
  <si>
    <t>Drinking Water Lines</t>
  </si>
  <si>
    <t>Drinking Water</t>
  </si>
  <si>
    <t>strengthening of entrepreneurship</t>
  </si>
  <si>
    <t>strengthening of agricultural warehouse</t>
  </si>
  <si>
    <t>In entrepreneurships</t>
  </si>
  <si>
    <t>Subtotal SAN</t>
  </si>
  <si>
    <t>Food Safety Fair</t>
  </si>
  <si>
    <t>Training in SAN</t>
  </si>
  <si>
    <t>Subtotal Organic Fertilizers</t>
  </si>
  <si>
    <t>Inputs and minerals to produce organic fertilizers.</t>
  </si>
  <si>
    <t>Implements to produce organic fertilizers.</t>
  </si>
  <si>
    <t>Subtotal Fruit trees</t>
  </si>
  <si>
    <t>Solid rain</t>
  </si>
  <si>
    <t>Fruit plants</t>
  </si>
  <si>
    <t>Horticultural Subtotal</t>
  </si>
  <si>
    <t>Plastic for orchard cover</t>
  </si>
  <si>
    <t xml:space="preserve">Medicinal plants
</t>
  </si>
  <si>
    <t>Seeds of vegetables, grains and tubers.</t>
  </si>
  <si>
    <t>Agroforestry orchards</t>
  </si>
  <si>
    <t>Subtotal Livestock</t>
  </si>
  <si>
    <t>Forage Mixture</t>
  </si>
  <si>
    <t>Vaccine kit</t>
  </si>
  <si>
    <t>Minor animals</t>
  </si>
  <si>
    <t>Total Irrigation</t>
  </si>
  <si>
    <t>Subtotal Parcel irrigation</t>
  </si>
  <si>
    <t>Parcel Irrigation</t>
  </si>
  <si>
    <t>Subtotal Improvement of community irrigation systems</t>
  </si>
  <si>
    <t>Reservoir enclosure</t>
  </si>
  <si>
    <t>Change of geomembrane.</t>
  </si>
  <si>
    <t>Reservoir for Storage and Distribution</t>
  </si>
  <si>
    <t>Pipe / Distribution networks</t>
  </si>
  <si>
    <t>Community channels</t>
  </si>
  <si>
    <t>Parish</t>
  </si>
  <si>
    <t>Canton</t>
  </si>
  <si>
    <t>#</t>
  </si>
  <si>
    <t>Families</t>
  </si>
  <si>
    <t>Communities</t>
  </si>
  <si>
    <t>Total Drinking Water</t>
  </si>
  <si>
    <t>5.2. Protección de Fuentes</t>
  </si>
  <si>
    <t>5.1. Mejoramiento de Sistemas</t>
  </si>
  <si>
    <t>Total Capacity Building</t>
  </si>
  <si>
    <t>4.2. En Diverisificación Productiva.</t>
  </si>
  <si>
    <t>4.1. En Seguridad Alimentaria.</t>
  </si>
  <si>
    <t>Total Food Safety</t>
  </si>
  <si>
    <t>3.4. Organic Fertilizer Component</t>
  </si>
  <si>
    <t>3.3. Fruity Component</t>
  </si>
  <si>
    <t>3.2. Horticultural Component</t>
  </si>
  <si>
    <t>3.1. Livestock Component</t>
  </si>
  <si>
    <t>Total Strengthening of Boards</t>
  </si>
  <si>
    <t>2.2. Organizational Strengthening of Water Boards and AP Systems Maintenance Plan.</t>
  </si>
  <si>
    <t>2.1. Organizational Strengthening of Irrigation Boards and Irrigation Systems Maintenance Plan.</t>
  </si>
  <si>
    <t>1.2. Parcel Irrigation</t>
  </si>
  <si>
    <t>1.1. Community Irrigation</t>
  </si>
  <si>
    <t>6. ANTI FROST SYSTEM</t>
  </si>
  <si>
    <t>5. DRINKING WATER</t>
  </si>
  <si>
    <t>4. TRAINING</t>
  </si>
  <si>
    <t>3. FOOD SAFETY</t>
  </si>
  <si>
    <t>2. Strengthening of Boards</t>
  </si>
  <si>
    <t>1. IRRIGATION</t>
  </si>
  <si>
    <t>Data of Communities and Families Planned</t>
  </si>
  <si>
    <t>EJES, SUB EJES  Y TEMAS PARA EL FORTALECIMIENTO Y SOSTENIBILIDAD DE LAS MEDIDAS DE ADAPTACION DE JUBONES</t>
  </si>
  <si>
    <t>Implemented Measure</t>
  </si>
  <si>
    <t>PLACE</t>
  </si>
  <si>
    <t>DETAIL OF THE OPTIONS FOR THE STRENGTHENING AND SUSTAINABILITY OF THE ADAPTATION MEASURES IN THE JUBONES RIVER BASIN</t>
  </si>
  <si>
    <t>3 years</t>
  </si>
  <si>
    <t>Metallic Silos + drip irrigation kit + vegetable seeds kit</t>
  </si>
  <si>
    <t>Cochasqui</t>
  </si>
  <si>
    <t>La Florencia</t>
  </si>
  <si>
    <t>Drip irrigation kit + vegetable seeds kit</t>
  </si>
  <si>
    <t xml:space="preserve">San Juan </t>
  </si>
  <si>
    <t>Vegetable, fruit and forest nursery</t>
  </si>
  <si>
    <t>San Luis de Ichisí</t>
  </si>
  <si>
    <t>Pedro Moncayo</t>
  </si>
  <si>
    <t>Soil and Fertility Study</t>
  </si>
  <si>
    <t>Larcapamba</t>
  </si>
  <si>
    <t>Drip irrigation kit + seed kit kit for small animals</t>
  </si>
  <si>
    <t>Ancholag</t>
  </si>
  <si>
    <t>Soil Study + vegetable seeds kit</t>
  </si>
  <si>
    <t>Las Flores</t>
  </si>
  <si>
    <t>Parcel drip irrigation kit + vegetable seeds kit</t>
  </si>
  <si>
    <t>Cariacu</t>
  </si>
  <si>
    <t>Metal silos + drip irrigation kit + vegetable seeds kit</t>
  </si>
  <si>
    <t xml:space="preserve">Otonsito </t>
  </si>
  <si>
    <t>Irrigation valves + vegetable seeds kit</t>
  </si>
  <si>
    <t>Cangahuapungo</t>
  </si>
  <si>
    <t>La Chimba</t>
  </si>
  <si>
    <t>Metallic silos + vegetable seeds kits + subsoiling</t>
  </si>
  <si>
    <t>Pitana Bajo</t>
  </si>
  <si>
    <t>Pichincha</t>
  </si>
  <si>
    <t>Time Sustainability</t>
  </si>
  <si>
    <t>Incentives</t>
  </si>
  <si>
    <t xml:space="preserve"> Beneficiaries Families</t>
  </si>
  <si>
    <t>Community</t>
  </si>
  <si>
    <t>Summary of Pichincha</t>
  </si>
  <si>
    <t>TYPOLOGY OF ADAPTATION MEASURES</t>
  </si>
  <si>
    <t>Capacity Building Plan of the FORECCSA project for the implementation of adaptation measures in the Jubones river basin</t>
  </si>
  <si>
    <t>Has the identification of learning objectives contributed to the outcomes of the project? In what ways have they contributed?</t>
  </si>
  <si>
    <t>Describe any difficulties there have been in  accessing or retrieving existing information (data or knowledge) that is relevant to the project. Please provide suggestions for improving access to the relevant data.</t>
  </si>
  <si>
    <t>If learning objectives have been established, have they been met? Please describe.</t>
  </si>
  <si>
    <t>How has existing information/data/knowledge been used to inform project development and implementation? What kinds of information/data/knowledge were used?</t>
  </si>
  <si>
    <t xml:space="preserve">Knowledge Management </t>
  </si>
  <si>
    <t xml:space="preserve">• Plan by typologies of purchases of inputs for the implementation of measures and incentives, to reduce the time of the processes.                                                                                                                                                          • Integral climate change adaptation measures could be applied, with an emphasis on water use.
</t>
  </si>
  <si>
    <t>What measures are being/could have been put in place to improve project/program results?</t>
  </si>
  <si>
    <t>What measures are/have been put in place to ensure sustainability of the project/program results?</t>
  </si>
  <si>
    <t>What would you consider to be the most successful aspects for the target communities?</t>
  </si>
  <si>
    <t>Community/National Impact</t>
  </si>
  <si>
    <t>What is the potential for the concrete adaptation interventions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</si>
  <si>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</si>
  <si>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Concrete Adaptation Interventions</t>
  </si>
  <si>
    <t>What is the potential for the climate resilience measures undertaken by the project/programme to be replicated and scaled up both within and outside the project area?</t>
  </si>
  <si>
    <t>What have been the lessons learned, both positive and negative, in implementing climate adaptation measures that would be relevant to the design and implementation of future projects/programmes for enhanced resilience to climate change?</t>
  </si>
  <si>
    <t>Climate Resilience Measures</t>
  </si>
  <si>
    <t>Response</t>
  </si>
  <si>
    <t>Lessons for Adaptation</t>
  </si>
  <si>
    <r>
      <t xml:space="preserve">Please complete the following section at </t>
    </r>
    <r>
      <rPr>
        <b/>
        <i/>
        <sz val="11"/>
        <color theme="1"/>
        <rFont val="Times New Roman"/>
        <family val="1"/>
      </rPr>
      <t xml:space="preserve">mid-term </t>
    </r>
    <r>
      <rPr>
        <i/>
        <sz val="11"/>
        <color theme="1"/>
        <rFont val="Times New Roman"/>
        <family val="1"/>
      </rPr>
      <t>and</t>
    </r>
    <r>
      <rPr>
        <b/>
        <i/>
        <sz val="11"/>
        <color theme="1"/>
        <rFont val="Times New Roman"/>
        <family val="1"/>
      </rPr>
      <t xml:space="preserve"> project completion</t>
    </r>
  </si>
  <si>
    <t>How have gender considerations been taken into consideration during the reporting period? What have been the lessons learned as a consequence of inclusion of such considerations on project performance or impacts?</t>
  </si>
  <si>
    <t>Describe any changes undertaken to improve results on the ground or any changes made to project outputs (i.e. changes to project design)</t>
  </si>
  <si>
    <t>Were there any delays in implementation?  If so, include any causes of delays. What measures have been taken to reduce delays?</t>
  </si>
  <si>
    <t>What implementation issues/lessons, either positive or negative, affected progress?</t>
  </si>
  <si>
    <t>Implementation and Adaptive Management</t>
  </si>
  <si>
    <t>Please complete the following section every reporting period</t>
  </si>
  <si>
    <t>QUALITATIVE MEASURES and LESSONS LEARNED</t>
  </si>
  <si>
    <t>The folder of the professional who fulfilled the requirements for the post of parish promoter of the Urdaneta parish was selected of a third of applicants.
August 19, 2015</t>
  </si>
  <si>
    <t>As established by the Organic Law of Public Procurement was made the Tiny Amount Process according to the amount service contract to carry out the systematization process.
February 04, 2016</t>
  </si>
  <si>
    <t>Enhancing resilience of communities to the adverse effects of climate change on food security, in Pichincha Province and the Jubones Watershed - FORECCSA  (for its Spanish acronym)</t>
  </si>
  <si>
    <t xml:space="preserve">In response to Ecuador’s national needs and priorities and upon request of the Ministry of Environment of Ecuador (MAE), in 2011 the United Nations World Food Programme (WFP) developed the FORECCSA project.  This initiative that seeks to address the priorities established by national and local governments was also coordinated with the Ministry of Agriculture (MAGAP), the Jubones Watershed Public Consortium (CCRJ) and the Provincial Government of Pichincha (GADPP). It targets 150 communities within 50 parishes, with a total of 15,000 families vulnerable to the effects of climate change and food insecurity in the provinces of Azuay, Loja and El Oro, located in the Jubones Watershed as well as the province of Pichincha. 
The overall goal of the project is to reduce the food insecurity and vulnerability of communities and ecosystems related to the adverse effects of climate change in the most vulnerable cantons of the Pichincha Province and the Jubones Watershed. The project includes two components: 
Component 1: Develop the community level awareness and knowledge capacity on climate change and food insecurity related risks. Objective 1: Increase knowledge to manage climate change risks affecting food security in targeted cantons/parishes in Pichincha Province and in the Jubones Watershed. 
Component 2: Increase adaptive capacity and reduce recurrent risks of climate variability at the community level. Objective 2: Strengthen adaptive capacity of highly food insecure communities to respond to the impacts of climate change, including variability in targeted cantons/parishes in the Pichincha Province and the Jubones Watershed.
The project approach recognizes the importance of critical ecosystems and agricultural production systems in support to food security and the most vulnerable segments of the population. The project targets the cantons and parishes with high levels of chronic malnutrition, large precipitation fluctuations and water scarcity due to climate variability and change. It also targets communities that will be most severely affected by climate-related events and that are least able to cope with increased climate variability. Project activities aim to address the impact of reduced precipitation levels, increasingly frequent droughts and other climate-related phenomena that affects food security. As a result of these efforts, the project has developed several adaptation measures with a participatory approach. In order to provide a quick response for adaptation needs the project has identified nine adaptation measures to climate change with emphasis on food security and gender issues. Thus, these measures have become an important input for the decision making process for the development of public policy.    
Project components are being implemented under the leadership of MAE, as the national executing partner in coordination with MAGAP and WFP. In addition, two local executing partners are key actors for the development of the project: CCRJ and GADPP are responsible for implementing project activities at local level.
</t>
  </si>
  <si>
    <t>United Nations World Food Programme (WFP)</t>
  </si>
  <si>
    <t xml:space="preserve">- Inception Report, delivered to the AF on May 2012;
- Project Annual Report 2012, delivered to the AF on November 2012;
- Project Annual Report 2013, delivered to the AF on November 2013;
- Project Annual Report 2014, delivered to the AF on January 2015;
- Project Mid-Term Review Report, delivered to AF on October 2015;
- Project Annual Report 2015, delivered to the AF on February 2016;
- Project Annual Report 2016, delivered to the AF on January 2017;
- Building Resilience: Bridging Food Security, Climate Change Adaptation and Disaster Risk Reduction, WFP paper, November 2011 (http://reliefweb.int/sites/reliefweb.int/files/resources/Workshop%20Building%20Resilience%20-%20Case%20Studies%20Overview%20-%20final%20draft.pdf);
- Landscapes for People, Food and Nature Initiative, March 2012 (http://blog.ecoagriculture.org/2012/03/02/community-action-for-food-security-and-resilience-2/);
- WFP Annual Report 2011(May 2012); 2012 (September 2012); 2013 (June 2014); 2014 (May 2015); 2015 (June 2016);
- SETECI (National Secretary of International Cooperation) Report, October 2012;
- WFP-MAE: Case Study for the Climate and Hunger Conference in Dublin, April 2013 (http://www.dci.gov.ie/what-we-do/dublin-conference/conference-documents/); MAE webpage (http://web.ambiente.gob.ec/?q=node/878&amp;page=0,3);
- WFP webpage (http://www.wfp.org/countries/ecuador/operations) and WFP monthly executive brief;
- Steering Committee Bylaws and Project Operational Manual, August 2013;
- Two pager FORECCSA Project, WFP, first issue: November 2014 (updated quarterly, last update October 2016);
- Four pager FORECCSA Project, WFP, first issue: October 2015 (updated quarterly, last update October 2016);
- Book "Plantas de la Cordillera Andina," June 2014;
- Annex 1 List of products developed within this project;
- Annex 3 Press releases during project execution and media and communication material 2016;
- Testimonial video of FORECCSA project was shown in the COP 22 Marrakesh by the Minister of Environment, November 2016;
- Presentation of FORECCSA project in a side event within COP 22 Marrakesh: Sustainable Innovation Forum, 14th of November 2016 (https://www.youtube.com/watch?v=AGdG0c2hv8M).
</t>
  </si>
  <si>
    <r>
      <t xml:space="preserve">It is an important to indicate that even though co-financing is not required by the Adaptation Fund, the Government of Ecuador is committed to collaborate with additional funds for the Project. Furthermore, this project has been able to add additional funds through formal commitments from local governments, MAE and UN Women.
Resources co-financing project execution:
</t>
    </r>
    <r>
      <rPr>
        <b/>
        <u/>
        <sz val="11"/>
        <color indexed="8"/>
        <rFont val="Times New Roman"/>
        <family val="1"/>
      </rPr>
      <t xml:space="preserve">2013 </t>
    </r>
    <r>
      <rPr>
        <b/>
        <sz val="11"/>
        <color indexed="8"/>
        <rFont val="Times New Roman"/>
        <family val="1"/>
      </rPr>
      <t>US$ 112.985,00</t>
    </r>
    <r>
      <rPr>
        <sz val="11"/>
        <color indexed="8"/>
        <rFont val="Times New Roman"/>
        <family val="1"/>
      </rPr>
      <t xml:space="preserve"> (MAE US$ 35.720,00; UNWomen US$ 77.265,00)
</t>
    </r>
    <r>
      <rPr>
        <b/>
        <u/>
        <sz val="11"/>
        <color indexed="8"/>
        <rFont val="Times New Roman"/>
        <family val="1"/>
      </rPr>
      <t>2014</t>
    </r>
    <r>
      <rPr>
        <sz val="11"/>
        <color indexed="8"/>
        <rFont val="Times New Roman"/>
        <family val="1"/>
      </rPr>
      <t xml:space="preserve"> </t>
    </r>
    <r>
      <rPr>
        <b/>
        <sz val="11"/>
        <color indexed="8"/>
        <rFont val="Times New Roman"/>
        <family val="1"/>
      </rPr>
      <t>US$ 477.221,59 (</t>
    </r>
    <r>
      <rPr>
        <sz val="11"/>
        <color indexed="8"/>
        <rFont val="Times New Roman"/>
        <family val="1"/>
      </rPr>
      <t xml:space="preserve">MAE US$ 242.222,42; GADPP US$ 107.070,00; CCRJ US$ 114.509,33; WFP US$ 13.419,84)
</t>
    </r>
    <r>
      <rPr>
        <b/>
        <u/>
        <sz val="11"/>
        <color indexed="8"/>
        <rFont val="Times New Roman"/>
        <family val="1"/>
      </rPr>
      <t>2015</t>
    </r>
    <r>
      <rPr>
        <sz val="11"/>
        <color indexed="8"/>
        <rFont val="Times New Roman"/>
        <family val="1"/>
      </rPr>
      <t xml:space="preserve"> </t>
    </r>
    <r>
      <rPr>
        <b/>
        <sz val="11"/>
        <color indexed="8"/>
        <rFont val="Times New Roman"/>
        <family val="1"/>
      </rPr>
      <t>US$ 515.331,41</t>
    </r>
    <r>
      <rPr>
        <sz val="11"/>
        <color indexed="8"/>
        <rFont val="Times New Roman"/>
        <family val="1"/>
      </rPr>
      <t xml:space="preserve"> (MAE US$ 292.989,16; GADPP US$ 85.156,86; CCRJ US$ 64.385,39; UN Women US$ 15.000,00; Local Governments US$ 39.800,00)
</t>
    </r>
    <r>
      <rPr>
        <b/>
        <u/>
        <sz val="11"/>
        <rFont val="Times New Roman"/>
        <family val="1"/>
      </rPr>
      <t>2016</t>
    </r>
    <r>
      <rPr>
        <sz val="11"/>
        <rFont val="Times New Roman"/>
        <family val="1"/>
      </rPr>
      <t xml:space="preserve"> US$                                                                                             MAE US$ 247,577.27                                   
GADPP US$ 128,585.04 
CCRJ US$ 36,876.66                                                                                      MAGAP US$ 84,348.50
UN Women US$ 7,000.00
Jubones Local Governments US$ 225,222 
</t>
    </r>
    <r>
      <rPr>
        <b/>
        <u/>
        <sz val="11"/>
        <rFont val="Times New Roman"/>
        <family val="1"/>
      </rPr>
      <t>2017</t>
    </r>
    <r>
      <rPr>
        <b/>
        <sz val="11"/>
        <rFont val="Times New Roman"/>
        <family val="1"/>
      </rPr>
      <t xml:space="preserve"> US$</t>
    </r>
    <r>
      <rPr>
        <sz val="11"/>
        <rFont val="Times New Roman"/>
        <family val="1"/>
      </rPr>
      <t xml:space="preserve"> 
MAE US$  494.402,20
GADPP US$    
MAG US$ 41.500,00
Jubones Local Govemments US$ 262.712,97
                                                                               </t>
    </r>
  </si>
  <si>
    <t>UN Women. María Falconi Abad. "Technical assistance for the mainstreaming of the gender approach in climate change adaptation measures for parishes participating in the FORECCSA project in the Jubones Watershed".</t>
  </si>
  <si>
    <t>CCRJ - FLORES ASQUI, MARCELO ARMANDO, purchase of organic chicken manure for the parishes of Shaglli and Chumblin, payment of 50% of contract in advance, process of electronic reverse auction through the portal of public purchases.</t>
  </si>
  <si>
    <t xml:space="preserve">CCRJ - PALAGUACHI GUARTAN INÉS LUCÍA, purchase of irrigation materials for the improvement of irrigation systems of Tenta, Urdaneta, Guanazan and Giron.  Payment of the pending balance corresponding to 50% of the contract.  Electronic reverse auction through the portal of public purchases.  </t>
  </si>
  <si>
    <t>CCRJ - GONZALEZ GONZALEZ HOLGER RENAN, promoter of the Urdaneta parish, service contract for 4 months of work.</t>
  </si>
  <si>
    <t>CCRJ - ENCALADA RHEA ROSA ELVIRA, contract carried out through the National System of Public Procurement, direct negotiation.
January 25-2016.</t>
  </si>
  <si>
    <t>CCRJ - MORALES ANDRADE JORGE ALBERTO, minimum amount contract.  The bid that offered the lowest selling price and matched the budget was selected.  
March 16-2016.</t>
  </si>
  <si>
    <t>CCRJ - TOLEDO LOPEZ EDGAR,  minimum amount contract.  The bid that offered the lowest selling price and matched the budget was selected. Contract to carry out the process of systematization of the 8 measures by the consortium.
February 04, 2016</t>
  </si>
  <si>
    <t>WFP - CIIFEN, Climatic Information System for Jubones</t>
  </si>
  <si>
    <t xml:space="preserve">On July 2014, the Ecuadorian National Assembly proposed a new law for water management. The national entity SENAGUA is in charge of water management policies. According to the decentralized law (COOTAD by its Spanish acronym) local governments have competencies to promote adaptation measures focused on water management. Based on this resolution the Project is working in partnership with local governments, not only at the parish level but provincial level too, according to the specific competencies outlined in the COOTAD and the new water law.
Since 2015, the Project has established good and long term relationships with Provincial Governments, responsible for water management. For instance, GADPP and Loja Provincial Government took part of the reviewing and approval of technical designs of water conduction and reservoirs activities to be implemented. In 2017, a work plan has been established with the National Water Secretariat to ensure that all measures that include infrastructure work, complete the registration with this entity, as well as to achieve the strengthening of the water and irrigation boards.
</t>
  </si>
  <si>
    <t xml:space="preserve">The project has developed a vulnerability study in targeted areas to set baseline indicators according to the project results framework related to climate change threats, adaptive capacities and community resilience related to food security and gender issues. Furthermore, each climate change adaptation measure has its own baseline to track project activities and results.
In addition, nine typologies of adaptation measures to climate change have been generated with emphasis on food security and gender. Each one of the measures has defined a specific contribution to adaptation and defined a set of indicators to demonstrate the achievements in this area.
Regarding the availability of climatic information, the network of meteorological stations that feed the forecasting system of the National Meteorological Service (INAMHI by its Spanish acronym) is being strengthened. The access to climate information is facilitated through a web programme as part of the Climate Alert System that has been developed in order to reach the activities mentioned above.  On the other hand, in 2017, the Ministry of the Environment presented the Third National Communication on Climate Change that includes the climatic projections of precipitation and temperature for Ecuador, under different climate change scenarios, this significantly improves the availability of official information for the whole country.
</t>
  </si>
  <si>
    <t>There were delays in setting up the Project bank account after its registration on the national planning structure for international cooperation; and in signing project agreements. However, strong political will for the project at the highest levels resolved these problems. In order to compensate the time elapsed at the beginning of the project, an extension with no-cost was approved for an additional 18 months, which was validated by the Adaptation Fund.</t>
  </si>
  <si>
    <t>Since 2013, the project has an approved Steering Committee Policy and an Operational Manual to guide all the implementation processes; both documents clearly define the stakeholder's roles and responsibilities. The project structure and implementation arrangements are in constant adaptation.
During 2015, the Midterm assessment ratifies the need of an adaptive management capacity to face constant changes at political and technical levels. The external evaluators confirm that the project is innovative but complex and needs flexibility to be managed. 
The recommendations of the evaluation are applied daily and the project tries to accelerate the decision-making process through the information provided by the parties and direct consultation with the decision makers.</t>
  </si>
  <si>
    <t xml:space="preserve">The project requested the national tax agency, the Secretariat of Cooperation, and the Minister of Finance a tax exemption or return of the VAT.  However, the response was not favourable.  CCRJ provided a lawyer to create an agreement that would allow resources for VAT (12%) to be covered by GADs; this proposal was not accepted by the GADs so it was not implemented. 
The SC analyzed options for changing project management arrangements in Jubones, the only option that guaranteed that VAT would be reimbursed is when WFP procure goods and services thanks to its international organization status (all purchases are subject to the tax). 
WFP has made several acquisitions and will manage the VAT return. This process will take longer than normal since the Government of Ecuador, due to the economic crisis that is facing is not processing VAT refund requests. 
</t>
  </si>
  <si>
    <t xml:space="preserve">
Based on the experience generated prior to mid-2017, a training plan that links food security and climate change with gender considerations was consolidated.  It comprises three sections. The first deals specifically with the themes of the Project through three modules (climate change, food security and nutrition and gender), each one analyzing their specific topic and the relationship with the others. The second section addresses the content of each of the nine types of adaptation measures and inserts in a practical way the three themes: climate change, food security and gender according to the characteristics of each measure. Finally, the third section addresses issues related to food security and nutrition to address the promotion of good feeding practices, nutrition, hygiene, and food preparation and consumption in a context of climate change. Each module contains a conceptual document (contents), a theoretical-practical document (design of the Training Event, the Methodological Guide of the event and the facilitator, the Methodology and tool for baseline and learning evaluation), and; a dossier of materials.
This plan is complemented with a training module for Trainers that has allowed to strengthen the knowledge and skills of the technicians of the Ministry of Environment and local governments to carry out effective training processes for adult community members from the areas where the adaptation measures are implemented.  In addition, it includes assessment instruments that facilitate determining the knowledge improvements that are achieved through the training processes.
</t>
  </si>
  <si>
    <t>Until 2017, 49 adaptation plans have been developed in the same number of parishes. In 2017, 31 plans were validated and in the process it was possible to generate cantonal and parish resolutions that declare climate change adaptation with emphasis on food security and gender considerations as a priority.  At the moment, three plans are in the approval process to get MAE´s official endorsement.  In 2017, four new plans were developed (included within the 49 that are reported) with the active participation of 150 leaders, of whom 53% were women.</t>
  </si>
  <si>
    <t>Until now 35 agreements have been signed between MAE and the local governments in order to implement adaptation actions in the Jubones watershed and ensure their sustainability. These actions were possible due to the new execution mode that was opened in 2015. WFP, according to the resolutions of the National Steering Committee, has provided support for the procurement process of supplies. In the case of Pichincha, there is an amendment on the agreement with the GADPP to continue with the implementation of the adaptation measures and other project's components to achieve the results.  In addition, this executing partner has signed 13 agreements with the parishes in the province.  Signing agreements with local governments has allowed them to lead the implementation of measures in their locality.  In this way, they have managed to feel that they are leaders and owners of the process, which has generated high motivation, empowerment and knowledge regarding how the measures are implemented. From the project's perspective it is considered that the Local Governments, through the agreements, are Local Executing Partners and this is very well valued by them since it is one of the few Projects that works in close relation and coordination with the GADs.</t>
  </si>
  <si>
    <t xml:space="preserve">
The Project has designed two climate information systems according to the particularities of each zone: Pichincha and Jubones. At the beginning they were conceived as Early Warning Systems associated with disaster management ("what happened in time of emergency"), because, as indicated in the baseline, there were no climate information systems that relate to food security. Given the theme of the Project (climate change and food security), after a deep analysis and consensus, it was determined that it was pertinent to change the approach to climate risk management, which considers medium and long-term processes, as well as its implications for food security.  In order to support preventive management among related institutions to improve their decisions and take timely actions to reduce the adverse effects of climate change on the food security of the population. For this reason, it was necessary to include actors such as the National Meteorological Service (INAMHI) and the Risk Management Secretariat and through this entity the members of the Emergency Operations Committee, that have a working group in charge of discussing livelihoods and productivity, which is the subject most closely related to food security.
The design and implementation of the Support System for climate risk management on food security considers the development of five components: (i) climate monitoring and prediction, (ii) vulnerability of food security to climate change, (iii) identification of risks, (iv) communication and (v) coordinated management of the response. It is probable that it is one of the first systems that are structured with considerations of climate change effects on food security.
The scope of the system in each zone is defined according to the situations found in each area and the starting point is the network of meteorological stations that feed the system. It was identified that in Pichincha there was only one station and the system, by time and resources, focused on providing a functional network of stations that lay the foundations for the later development of the system.  In Jubones, it identified the existence of a functional network that should be reinforced and that would allow the whole system to be developed as a national and international piloting.
To achieve this, the Project has done an intense management work that has achieved that for the first time actors such as the Secretariat of Risk Management, Meteorological Service (INAMHI), Ministry of Agriculture, Ministry of Environment, and others, work together to address the problem of climate change and food insecurity as a common goal.  Each institution has official delegates and focal points.  It has also been necessary to strengthen capacities in each entity and facilitate the dialogue process. INAMHI is supported to strengthen the existing stations and install new ones so that they broadcast information that feeds their data system, as well as the system that is being formed.
In Jubones there are modules 1 and 2, while the rest are being developed. In Pichincha, the equipment to establish the network of meteorological stations was acquired in order to have enough quality data for climate analysis. In 2017, the GADDP has maintained and deepened problems with procurement processes that have delayed implementation.  Agreements with the national authority of weather information (INAMHI) for the implementation of climate forums have been affected by constant changes in  programming. To solve this problem, WFP will support the hiring processes to facilitate the installation of stations and other planned activities. This activity will also extend its execution until 2018.
 In 2017, with the change of Government in Ecuador, the new Secretary of Risk Management modified the structure of the Manual of the Emergency Operations Committee and the presidency of the working group in charge of the system shifted from the Ministry of Agriculture to the Ministry of Industries and Productivity, for this reason new agreements must be generated to start the system. This, in addition to the fact that the participation of multiple actors is required, means that the process requires more time for analysis and generation of agreements, so this product will be achieved in 2018.
In addition to the above, in 2017 an Ecuadorian researcher developed a low-cost electronic device to detect frosts and take preventive actions at the community level. The Project established contact and the device was installed in a community in Southern Ecuador, where the operation was tested. Subsequently, the equipment was calibrated in INAMHI and tested together with an official INAMHI meteorological station where it was determined that the equipment measures the humidity and temperature parameters following the same pattern of the station and that with small adjustments it can be installed to develop early anti-freeze warnings community systems in vulnerable parishes of Jubones. The technical committee should analyze this report and recommend its implementation and further development.  By the beginning of 2018 there will be a document that identifies the information gaps regarding the innovations made and the first monitoring plan, as well as the roadmap to complete the gaps. This document will collect the lessons learned in the monitoring process and the changes made during the implementation process. Once the information gaps and recommendations have been established, the corresponding terms of reference will be prepared to contract the development of a monitoring and evaluation system in accordance with the new management system implemented and to serve as a reference for similar projects that are implemented by the Ministry of the Environment of the Ecuador and / or the WFP, in this way the proposal will be institutionalized. This new system will be used by the new Binational Project that WFP will execute with funding from the Adaptation Fund.  It will also serve as a reference for projects that implement adaptation measures to climate change of the Undersecretariat of Climate Change of Ecuador
</t>
  </si>
  <si>
    <t xml:space="preserve">Since 2014, the FORECCSA project has a Project Monitoring System that has been adapted according to the progress and needs of the Project. Its development and innovation has had the challenge of ensuring the proper approach to climate change, food security and gender in all the results and components of the project's logical framework, that is, moving from a traditional monitoring system for a project to a monitoring system for an adaptation project to climate change with emphasis on food security and gender considerations. 
For the above, in 2017 with the purpose of supporting the consolidation of reports and the generation of lessons learned, the Project team has considered the content of the logical framework and the experience developed during the execution, to generate a technical and methodological proposal that allows to strengthen the resilience capacity of the communities before the adverse effects of climate change with emphasis on food security and gender considerations. This is summarized in seven lines of work that are expressed in the following guiding questions
1. Faced with what climate situation, food insecurity and gender inequity should parishes adapt? (Vulnerability Analysis)
2. What adaptation measures should be implemented in the face of the above? (Adaptation Plan),
3. What measures will be implemented immediately? (Prioritization of adaptation measure receiving funding from FORECCSA)
4. How to make the implemented measures sustainable? (Plan for Strengthening, Sustainability and Closure)
5. How to bring climate information to institutions, GADs and communities? , (Support Systems for Climatic Risk Management)
6. How to "feed the mind to fight hunger" in a context of climate change and gender inequality? (Training and awareness process)
7. How to empower local governments ?.
Among the transversal axes we have gender, knowledge management and systematization that cross all the axes. Based on the above, the Project aims to generate a proposal that includes indicators and scales of measurement for each axis, in this way it will be possible to measure the capacity of resilience that was achieved in each parish / community with respect to the initial point of work (situation with and without project) and in this way there will be a concrete indicator on the strengthening of resilience capacity, which is proposed from the name of the Project. It is highlighted that the work on gender was supported by UN Women and a proposal of indicators was developed to monitor and evaluate the work on the subject.
As part of the legacy left by the Project, in 2017, work has been done to update the monitoring system and the instruments for each work axis.
Since previous years, an important challenge has been the monitoring of the adaptation measures since the logical framework of the Project considers the number of measures implemented as an indicator.  However, each measure has its own logical framework that must be monitored.  Also, the measures have generated important data for the analysis of achievements on the improvement of the resilience capacity at community and family level.  For this reason, during 2016 and 2017 the system was strengthened. The results of the adaptation measures have been followed up with a community approach (matrix for monitoring results and consolidating hard data), monitoring the implementation stages of the adaptation measures (beneficiary monitoring matrix), has generated indicators by type of adaptation measure (Diversity, time, income and production).  The indicator of percentage of food consumption and gender indicators related to women's decision-making will be processed in the first quarter of 2018 and may be evidenced in the final report to be submitted once the project is closed. On the other hand, the participatory evaluation that will be carried out by the end of the implementation of the measures has been defined.  
During 2017 the monitoring tools have been adjusted to enhance the reporting of data in a communicational manner. There are quarterly reports that show the progress of the logical framework activities of the adaptation measures, which demonstrates the interinstitutional articulation established because the reports are jointly prepared by the technician of the GAD (local) and the technician of FORECCSA (national).  The reports include: trainings, number of beneficiary families, and contributions and counterparts of the GAD. All the local reports are part of a broader report by parish that will be presented in the final stage of project closure, the sequence of reports is shown in ANNEX 9.
All the information gathered in the measures feeds the overall logical framework of the project, especially the products 2.1.1. and 2.1.2 where the proposed goals have been exceeded. These results are of broad impact and national reference.
By the beginning of 2018 there will be a document that identifies the information gaps with respect to the innovations made and the first monitoring plan, as well as the road map to complete the gaps. This document will collect the lessons learned in the monitoring process and the changes made during the implementation process. Once the information gaps and recommendations have been established, the terms of reference to contract the development of a monitoring and evaluation system in accordance with the new management system will be prepared.  This will serve as a reference for similar projects that are implemented by the Ministry of the Environment of Ecuador and / or the WFP.  In addition, this new system will be used by the Binational Project that WFP will implemente with the Ministries of Environment of Colombia and Ecuador with funding from the Adaptation Fund.  It will also serve as a reference for projects from the Undersecretariat of Climate Change of Ecuador that implement adaptation measures to climate change.
</t>
  </si>
  <si>
    <t>As of October 2017, the implementation of 41 adaptation measures for food security with gender considerations has been completed. 9 measures are in the process of being implemented (3 in Pichincha and 6 in Jubones). Around 10,984 families have participated and directly benefited from these measures.  They have improved their resilience against the adverse effects of climate change. For details see Annex 2
The 50 adaptation measures are distributed between 37 measures for the Jubones river basin and 13 measures for the province of Pichincha, the implementation has had an active participation of the communities and leaders and parish and cantonal authorities.
If the parish and community level analysis is deepened, it is reported that the project has implemented 86 adaptation actions within the framework of the 9 types of adaptation measures, which strengthens the adaptation capacity in 50 parishes, covering 240 communities.
The adaptation measures have allowed the parishes: (i). anticipate risks; (ii) face them and (iii) recover from the potential risks. The typologies implemented by FORECCSA are:
Typology 1: Protection of water sources = 9 actions
Typology 2. Promotion of silvopastures for the creation of microclimates and moisture retention = 4 actions
Typology 3. Provision and strengthening of parcel irrigation in drought areas = 11 actions
Typology 4. Strengthening community irrigation in drought areas = 30 actions
Typology 5. Promotion of seeds with attributes of drought and frost resistance = 2 actions
Typology 6. Promotion of home gardens = 16 actions
Typology 7. Management of organic fertilizers for soil moisture retention = 5 actions
Typology 8. Improvement of the water supply for human consumption = 6 actions
Typology 9. Promotion of small animals = 3 actions
At the national level it is reported that the Province with the greatest variety of typologies is the Province of Azuay with the implementation of all typologies, followed by the Provinces of El Oro and Loja and finally Pichincha implements a single typology that is community irrigation that responds to the water deficit conditions that exist in the area. For more details see annex 10.</t>
  </si>
  <si>
    <t>The Project Steering Committee approved an incentive strategy that has the following objectives: (i) Overcome specific barriers that limit the operation of the measures, (ii) ensure the operation and maintenance of the measures after the Project (Sustainability), (iii) ) Strengthen the approach to Food Security and Gender approaches; (iv) Document and share successful experiences; and (v) empower local governments through the issuance of local regulations and obtaining the MAE's endorsement of its adaptation plan. Based on the foregoing, it has been identified that strengthening, sustainability and closure will be a function of seven axes: (i) irrigation, (ii) food security, (iii) potable water, (iv) strengthening of drinking water boards and irrigation, (v) capacity building, (vi) anti-freeze community warning system (vi) formalization of the adaptation plan before the MAE. The axes that are applied in each parish and measure are defined through a participatory process between the Local Government and community leaders, where the participation of women is privileged.
The previous proposal will allow to fulfill the proposed objectives, 47 of the 50 parishes (34 parishes of Jubones and 13 of Pichincha) developed their strengthening and sustainability plans, while the measures that were designed for 3 parishes in Jubones, during 2017, included the activities of this strategy as part of the roadmap for the implementation of the measure. The plan constitutes an important motivation for the participating local families and governments, since it focuses on giving an incentive for the good participation and development of the actions. In terms of implementation, the beneficiary families have been targeted and the inputs and services required for each axis are in the process of acquisition, the axis that has already been met in all Jubones measures is the formalization of the adaptation plan before the MAE and have obtained their endorsement or approval, while the implementation of the anti-freeze community warning system depends on the approval of the Technical Committee. The implementation of the incentive strategy is expected to complete the first quarter of 2018.
Annex 6 presents the detail of the axes and sub-axes of the incentive strategy for Jubones and annex 7 presents the proposal for Pichincha. The incentive mechanism, as approved by the Project Steering Committee, is financed with the incentive item for each parish (USD 10,000) and the balances generated in the execution of each measure.</t>
  </si>
  <si>
    <t xml:space="preserve">Project activities have considered ways to facilitate participation of women and men taking into account their different needs and interests. Decision-making workshops promoted by the project are held at times that fit well with women's schedules in order to ensure their participation. During the development of workshops, facilities for child care are provided by project staff so that participants can concentrate in the training.  During the validation process that took place during this year and also at the different project activities, it was identified that out of the 150 leaders that actively participate and that have an influence on decision-making, 53% (80) correspond to women.  The analysis of women's participation on the different training activities shows that out of a total of 5,831 participants, 55% correspond to women.  
Training project staff on gender issues has proved to be an important tool to generate knowledge, develop skills and raise awareness. As a result, they have shown increased ownership and commitment because it has stopped being just a speech and it has become a practical experience. The strategy used is to first identify the participation limitations of local women; encourage their presence among local leaders; promote their voice in all of the activities; value their opinions and suggestions; register their attendance; increase men's awareness; and create a baseline on participation and decision-making of men and women at the beginning of implementation, which will allow to monitor progress and establish the changes achieved by the end of the project.
• Mrs. Elsa Cabrera, from La Esperanza neighborhood (SelvaAlegre-Saraguro-Loja) says: "In summer time it takes me almost 3 hours to walk to the hill with my children to cut two bags of grass and return on the mule.  Now I just go out and cut it, that saves us time. "
• Mrs. Silvia Orzco manifests (Saraguro-Loja) says: "With irrigated land I no longer have to look for water, now I just have to open the faucet and during the summer I save even half an hour a day, even if it's to rest" .
Actions such as those indicated contribute to the improvement of the position of women in terms of access, control and decision-making at the household level and beyond the actions of the Project.
In the monitoring and systematization process, more testimonies and indicators will be gathered by parish and by typology. The above shows that concrete results related to gender have been achieved, which has drawn the attention of other project's that know about FORECCSA's work mechanism.  FORECCSA's work on gender has been recognized and for that reason it was invited to participate at the National Meeting of Rural Women to present its strategy.  The achieved results generated a great deal of interest from the different national stakeholders that participated in the event, because it is one of the few projects that actually has practical results that surpass the discourses and the diagnoses.
</t>
  </si>
  <si>
    <t xml:space="preserve">The general qualification for the Project is Satisfactory. The project achieved important results on the implementation of measures and on the other components.  It is important to highlight the incentives proposal that will strengthen the measures and contribute to their sustainability, as well as the empowerment of Local Governments, that have made their Climate Change Plans official to the Ministry of the Environment, protected by a parish resolution that declares the priority of climate change management, food security and gender. Based on the experience developed, the FORECCSA Project Proposal has been generated to create community resilience and is based on seven axes: Understanding the vulnerability to decide, plan the adaptation actions to be executed, start the execution of the plan with priority measures, promote the Strengthening and sustainability of the measures, bringing climate information to the decision makers, feeding the mind to combat the speech (training), empowerment of the local governments. 
There is a solid technical team in the field that can reach the milestones established in the planning, in addition a solid management structure has been generated with better communication between the involved actors from the National Steering Committee, the Technical Committee and the Project Management.
The support and commitment of the Ministry of the Environment (MAE) and the continuity of the Undersecretary of Climate Change and the Adaptation Director -before there was a change of government, was crucial so that the activities do not suffer significant alteration. The experience of the project is a key element to contribute to public policies and for the formulation of the Organic Environmental Code that is developed in Ecuador. FORECCSA has become one of the projects prioritized by the MAE and with great visibility in the media for its achievements in terms of climate change, food security and gender. Both the previous Minister and the current Minister have given decisive support to the project and have actively participated in the signing of agreements with the Local Governments, the results of the project are being used in several high level events and they have also been made visible in the Andean Knowledge and Tasting Festivals, that took place in each zone (Pichincha and Jubones) where more than 3000 people met and exchanged the FORECCSA experience, with the participation of the main local and national authorities. 
It is important to highlight that this year, the implementation of measures has been consolidated and reinforced with incentives, as well as significant progress has been made for the other components. The team has a high level of empowerment for gender issues, which has made it possible to achieve significant participation by women and contribute to the coverage of their practical and strategic needs. This is a practical way of moving from discourse to the generation of concrete results on gender. The proposal has attracted the interest of several national initiatives that work with gender and was evidenced in the National Meeting of Women where the experience of FORECCSA was exposed and became a reference of concrete actions in favor of women.
As a result of these important efforts, 50 parishes have been implemented 86 adaptation measures that are grouped into 8 typologies and directly benefit more than 10 thousand families. Another important achievement is the inter-institutional coordination that has allowed several state actors (at the national, regional and local levels), international cooperation, community to converge their efforts for the implementation of this important project. 
</t>
  </si>
  <si>
    <t>Until 2017, the FORECCSA project has developed 45 vulnerability analysis. Vulnerability analysis reflect the level of impact of the 2 main climatic changes on the livelihoods of vulnerable communities. The project has incorporated an adaptation approach based on co-communities rather than ecosystems due to the high participation of communities in 82% of the parishes intervened and in the remaining 18% adaptation actions based on ecosystems have been contemplated. The FORECCSA project has a vulnerability methodology that evaluates 28 indicators, this methodology was applied at the 45 parishes in 2014 and will be applied again during the first quarter of 2018, once the adaptation actions implemented by FORECCSA are completed. The results of this model will be reported in the final project closure report.</t>
  </si>
  <si>
    <t xml:space="preserve">A Food Security Assessment took place for the targeted areas to determine the Food Consumption Score, the Dietary Diversity Index and the Coping Index plus additional general assessment on food security. The FCS for Jubones is 38% and for Pichincha 32%. On 2016, information was collected by type of measures and was being processed to reinforce the strategy of incentives with aspects of nutrition and consumption habits. 
A base line was defined for project targeted areas considering the Food Security Assessment and the study on gender dynamics. 
The methodology of this indicator is applied whenever the parish has finished its interventions so that the processing of information is not biased, therefore the final surveys will be applied when most of the measures are closed in the 1st quarter of 2018. This indicator will be reported in the final report.
</t>
  </si>
  <si>
    <t xml:space="preserve">Adaptation plans have been developed for 49 parishes (38 in Jubones and 11 in Pichincha).
Between 2015 and 2017, 17 parishes and cantons have used information of the adaptation plans to update the Development and Land Use Plans (PDOT by its acronym in Spanish), that were presented to the National Secretariat for Planning for its approval and allocation of resources. As a management tool, several parishes included the adaptation measures in their annual planning. The plans have been implemented through execution of the first measures of adaptation to climate change with emphasis on food security and gender, and contain contributions from the GADs, and Communities with funding from the FORECCSA project
Out of the 49 adaptation plans, 12 were developed between 2015 y 2016. These plans used the guidelines of MAE in order to develop and incorporate climate change issues in local planning. According to the plan proposal, climate change variable was incorporated into several sections of the plans.
</t>
  </si>
  <si>
    <t xml:space="preserve">Between 2015 and 2017, 49 adaptation plans have been developed by the project.  All of them are aligned with national, regional and local policies. These adaptation plans have served as an important source of information for the process of updating the PDOTs. An agreement was achieved in Pichincha so that the PDOTs of the Municipal Governments of Cayambe and Pedro Moncayo (covering the 10 targeted parishes of the project) incorporate climate change, food security, and gender variables. 
In Jubones, 11 pilot cases were selected and these parishes incorporated the variables of climate change into PDOTs. This work was carried out under the guidelines developed by MAE. In addition, the adaptation measures implemented by FORECCSA were considered as priority activities to be developed by the GADs.
During the last quarter of 2017, the project closing workshops on how to monitor and evaluate the measures were implemented to visualize the progress and challenges faced during the closing phase, especially to update information, reinforce knowledge and analyse actions for the strengthening, sustainability and closing plans of each parish or canton.  </t>
  </si>
  <si>
    <t>Until 2017, 49 adaptation plans have been developed in an equal number of parishes (98% of the proposed goal). In 2017, 31 plans were validated and in the process it was possible to generate cantonal and parish resolutions that declare climate change adaptation with priority on food security and gender considerations as a priority.  At the moment, three plans are going through the approval process to get the official endorsement of the MAE, and; these local governments have also already generated their resolutions. In 2017, four new plans were developed (included within the 49 that are reported). In the 2017 process, there was the active participation of 150 leaders, of which 53% were women.
Obtaining MAE´s endorsement was not foreseen in the project's logical framework.  However, it was possible thanks to the degree of empowerment of the GADS and the interest to continue promoting the measures and actions formulated with the support of the project.  For this reason, all the GADs of Jubones will comply with MAE's request and they ratified their commitment to continue working like this.  The level of empowerment of the GADs can be evidenced in testimonies such as that of Lic. Abel Sarango, mayor of Saraguro:
"FORECSSA is the first support that local governments have had to work explicitly on climate change, food security and gender, a very important issue for our population that needs to eat well every day and for the GAD, because we need practical tools to promote on our own work.  It is a pleasure to have worked in partnership with the MAE and know that we are now the first canton of Ecuador where all of its parishes have an adaptation plan that has been approved by the MAE, and it is a plan that we have also included in our Development Plans and that we will continue to implement.  This will allow us to serve vulnerable communities and families to improve their capacity to resist and recover from the impacts of climate change, as well as to improve their diet / nutrition. For the Municipality of Saraguro it is a priority to continue working on adaptation to climate change to safeguard food security considering gender differences. FORECCSA has allowed us to start this work and we have adopted the necessary actions to follow it on our own, however, it is desirable that there be a second phase of the project to continue with the capacity strengthening process and to consolidate the project's actions".
The foregoing is a demonstration of how the local authorities have assumed in practice and in the discourse the topic of adaptation to climate change with an emphasis on food security and gender considerations.</t>
  </si>
  <si>
    <t>Up to 2017, 49 adaptation plans have been developed in the same number of parishes (98% compliance). In 2017, 31 plans were validated and four new ones were developed, with the active participation of 150 leaders, of which 53% were women. There has been an active participation in the design and evaluation of the plans. The project has managed to identify adaptation measures and is in the process of implementing them with emphasis on food security in 50 parishes. Additionally, two parishes are developing the respective adaptation plans, although measures will not be implemented with project financing.</t>
  </si>
  <si>
    <t xml:space="preserve">
Women have participated in the vulnerability analysis and in the adaptation plans of 49 parishes. During the process of validation and formulation of adaptation plans that took place in 2017, 150 leaders participated, of which 53% (80) were women. This was achieved throught the promotion of spaces and conditions that facilitated their participation. In Jubones parish, for the first time a woman has managed to be part of the Irrigation Board.</t>
  </si>
  <si>
    <t>The climate information system for the Jubones Watershed is being developed. This will be an important instrument in order to assess the level of local preparedness to tackle climate change issues. Even though this methodology is used for this indicator, it is not directly related to project activities. Thus the indicator will be adjusted in terms of information availability and project scope.</t>
  </si>
  <si>
    <t xml:space="preserve">Two Climate change information systems that monitor climate events have been designed in accordance with local contexts and they are being implemented in each targeted area. Two systems will cover the 50 targeted parishes. At the end of the Project there will be two Information Systems, one for each zone.
In the case of the Jubones Watershed, we work on the implementation of the Climate Risk Management Support System on food security that links institutions such as MAG, MAE, SGR and INAMHI.  The system will provide information so that institutions can take action before the identification of risk situations in the medium and long term; the communication and response module had to be updated according to the recent institutional changes, with these adjustments and the updating of institutional agreements, validation and adjustment must be carried out until 2018. In Pichincha, a network of meteorological stations that will feed the data network of INAMHI  is being implemented and it will generate information for the Local Governments so that they consider it in their actions.  The equipment was acquired and must be installed. All work is done in coordination with INAMHI. With these systems, information will be available for each work zone.  To complement the availability of community alert systems, together with INAMHI, an electronic anti-frost device has been validated for the Jubones area.  The results are promising and should be analysed in the Technical Committee to determine if the development and implementation of Anti-Frost Tempered Alert Systems for vulnerable parishes of Jubones takes place.
</t>
  </si>
  <si>
    <t xml:space="preserve">The monitoring plan and project's system was designed and approved in 2014. However, the mid-term evaluation recommended simplifying, adapting and adjusting the monitoring system to achieve maximum use and utility (P90); therefore, an update of the monitoring system plan was made in 2017.  It includes tools to collect data and process information that reinforces the monitoring and evaluation work on all the components of the Project, and for different levels of action. In this way, there will be greater elements for the generation of reports, lessons and other elements.
The update of the monitoring plan considers a digital inventory of the information assets of all the components and subcomponents of the project, from the implementation period (2014-2017).  It is intended that the construction of this inventory will support all the data reported by the system of project monitoring. The compiled data regarding impact will be used to communicate the lessons learned from the project and will be deposited in a repository of information on the results of adaptation to climate change with an emphasis on food security and gender considerations.
</t>
  </si>
  <si>
    <t>50 parishes are implementing adaptation measures to increase their resilience and reduce their risk to climate change considering food security and gender empowerment. Each adaptation measure has its own baseline to determine the future impact of the intervention. The methodology of this indicator is applied whenever the parish has finished its interventions.  It is scheduled that most of the measures will be finished by the 1st quarter of 2018.  Therefore this indicator will be reported in the final report.</t>
  </si>
  <si>
    <t xml:space="preserve">50 parishes have designed adaptation measures which have been approved by the Steering Committee (37 in Jubones &amp; 13 in Pichincha). 
The design of the adaptation measures are grouped into nine typologies: (i) Strengthening community irrigation in the drought areas, (ii) provisioning of land irrigation, (iii) development of family gardens, (iv) management of organic fertilizers for moisture soil retention (Vi) breeding of smaller animals as a source of protein, (vii) improvement of the provision of drinking water for human consumption, (viii) protection of water sources, and (ix) seed development with drought resistance attributes. For each typology a set of indicators has been established that will allow assessing the project's impact and its contribution to the adaptation to climate change, food security and gender.
PRODOC did not contemplate working in the parishes of Victoria del Portete, Cayambe and Juan Montalvo.  However, the implementation of these 3 measures replaces the intervention in the parishes of Zaruma and Sinsao. The FORECCSA Project has met the goal of implementing and designing 50 measures implemented.
NOTE: The FORECCSA Project in the parishes of Zaruma and Sinsao developed adaptation plans, which contain 3 profiles of adaptation measures that were prioritized by the community for future implementation.  The GAD has established a list of potential sources of national and international funding. 
</t>
  </si>
  <si>
    <t xml:space="preserve">Of the 86 adaptation measures implemented within the framework of the 9 types of adaptation measures, data reflects the increase in social and economic resilience in case of climate change at 50 parishes, 240 communities and 10,984 families from the Jubones river basin and the province of Pichincha.  
- Construction / improvement of 26 reservoirs that increase water storage capacity by 130,882 m3 in order to produce food in the dry season.
- Improvement of 45 km of critical sectors of community irrigation channels to provide small rural farmers with irrigation water.
- Replenishment of 4,371.1 hectares of productive land through community irrigation systems, benefiting 3,554 vulnerable families.
- 857 families from dry areas implement irrigation systems to irrigate parcels, to irrigate 111 hectares of peasant farms for self-consumption.
- 1,751 families have guaranteed hydrological services by protecting 28 water sources.
- 18 hectares of forest and moorlands protected within the framework of 5 agreements, generated to maintain the ecosystem services of vulnerable communities.
-1,610 families at risk of parasitism, improve their quality of life by having safe drinking water on a permanent basis.
- 2,302 families have implemented 214 hectares of agro ecological gardens as a measure of adaptation to climate change.
- In the practice of adapting orchards, 12 new species of vegetables have been incorporated in family farms, diversifying the diet of families that had low agricultural yields at the beginning of the project.
- 336 families have implemented 117 hectares of agroforestry systems as a measure of adaptation to climate change.
- On lands destined for grazing, 10 new varieties of grass have been planted, obtaining a yield of 99,000 Kg / ha.
- 847 families have applied organic manure in 41 hectares of orchards and agroforestry systems. In addition, 5 farms with vermiculture were implemented.
- 433 peasant farms incorporate breeding practices of small animals as a source of animal protein.
- It is estimated that 250 female headed households reduced the workload in three hours a day thanks to the irrigation system improvement in their chakras (plots).
</t>
  </si>
  <si>
    <t xml:space="preserve">The Project, in its logical framework, contemplated an incentive mechanism to encourage the participation of the families in the design and implementation of measures. However, the methodology employed and the close work with the GADs enabled the participation of families without resorting to incentives.  In alignment with the local context, the National Project Steering Committee approved an incentive strategy that contemplates the strengthening and sustainability of adaptation measures. In 2017, the 50 parishes have included incentives for the strengthening and sustainability of the measures, which will culminate in the first quarter of 2018.
</t>
  </si>
  <si>
    <t>The information generated by the Project has been shared with all the involved stakeholders, especially with all the local governments.  They have all officially received the information and 19 have used it to update their PDOTs, while 34 have developed parish resolutions that declare climate change adaptation with emphasis on food security as a priority.  Another mean of accessing information is through MAE´s website in order to share summaries of the news and products generated by the project. The summary of the vulnerability analysis, adaptation plans and approved measures have been shared on MAE's website.</t>
  </si>
  <si>
    <t xml:space="preserve">During the validation process of the adaptation plans that took place this year, as well as in the different project activities, it was identified that out of a total of 150 leaders who are actively participating and who are influential in the decision making process, 53% (80) corresponds to women. When analyzing the participation of women in different training activities, out of the 5,831 participants, 55% corresponds to women. The established goal has been exceeded. 
</t>
  </si>
  <si>
    <t xml:space="preserve">Until 2017, the FORECCSA experience has been shared in 10 local fairs, 8 events to exchange experiences, 5 visits of national and international delegations. In these activities, we had the participation of delegations from the benefites parishes, from other parishes from the provinces of intervention and also from other provinces of Ecuador.  </t>
  </si>
  <si>
    <t>• Long public procurement processes in the GADPP (more than 6 months): a) WFP assistance was requested to purchase materials for implementation.                                                                                                                                                            • Low physical execution of the goals established on the GADPP's 2017 Annual Work Plan: a) An inter-institutional team was formed with delegated technicians from MAE, MAG, WFP to support the GADPP the design of the incentives; b)A second addendum will be made to extend the execution period by 6 months to finalize the pending activities.                                                                                                                                                         
• Change of authorities of the representatives of the communities in Pichincha: a) Socialization meetings of the project were held and the pending agreements were retaken.                                                                                                    • Amendments to the National Water Law and creation of Irrigation Boards at the national level and change of authorities: a) Elaboration of preliminary documents and new adjustments will be adopted.                                
• For administrative reasons, WFP's procurement process takes more time than planned. Several simultaneous events took place: an event in the Saraguro canton, which delayed the process of acquiring goods and supplies for the Strengthening, Sustainability and Closure Plan: a) The technical team continued carrying out various activities in the territory related to the implementation of climate change adaptation measures and introducing the Strengthening, Sustainability and Closure Plan. In addition to several administrative processes, another simultaneous event was the Festival of Knowledge and Andean Flavors requested by SENAGUA.</t>
  </si>
  <si>
    <t xml:space="preserve">• The beneficiaries of the measures were transformed into co-executors, the invested amounts increased with the contribution of the executing partner, project and community, achieving greater results.
• The executing partner GADPP was supported with an inter-institutional team composed by delegated technicians from MAE, MAG, WFP to shorten the execution time of incentive activities.
• Sustainability plans are drawn up for the measures implemented in the Jubones river basin.
</t>
  </si>
  <si>
    <t>• The potential is high, the solutions that the Project proposed with the community reservoirs are sustainable over time, they can be replicated according to the conditions of the communities. The co-management of the actors was promoted, the investment amounts increased, the contribution of the Project was a seed to fulfill the objective of reducing the impact on Climate Change.
• Sensitize the communities on the topics of climate change and then organize workshops to strengthen the topics according to the local livelihoods.                                                                                                                               • The adaptation measures to climate change implemented by the FORECCSA project have shown good results in its implementation phase. They are highly replicable thanks to the methodology implemented (doing by learning), the information generated and the global knowledge on the subject.</t>
  </si>
  <si>
    <t xml:space="preserve">Possitive Lessons
• The project was a pioneer in the generation of information that visualizes the vulnerability of communities in terms of climate hazards.
• It is necessary to design mechanisms to overcome the limitations that exist in the project's execution such as public purchases.
• Create and strengthen spaces for dialogue that integrate local stakeholders.                                                                                                                                                                                                                                                                • The project must be born from a need participatively identified in the territory.
• The tools and instruments to be used must be clearly determined at the beginning of the project.
• You must know all the relevant information about the adaptation intervention in social, political, economic, legal, cultural, and other areas, etc.
Negative Lessons           
• The partner did not involve the municipal governments who included climate change and food security components in their PDOTs. 
• Climate change has a high level of uncertainty, decision makers in some cases prefer to prioritize other issues.                                                                                                                                                                               • Many times the designated budget is not sufficient to intervene with concrete adaptation measures. This is because there is always greater demand from users and components.
</t>
  </si>
  <si>
    <r>
      <rPr>
        <sz val="7"/>
        <color theme="1"/>
        <rFont val="Times New Roman"/>
        <family val="1"/>
      </rPr>
      <t xml:space="preserve">*   </t>
    </r>
    <r>
      <rPr>
        <sz val="11"/>
        <color theme="1"/>
        <rFont val="Times New Roman"/>
        <family val="1"/>
      </rPr>
      <t>Community co – management, promotes the contribution of all local stakeholders and increases the amounts of investment.                                                                                                                                                                  • They are highly replicable and expandable by the methodology implemented (doing by learning), the information generated and the global knowledge on the subject.</t>
    </r>
  </si>
  <si>
    <t xml:space="preserve">• Communities increased their adaptation capacity improving their quality of life.
• Community co-management increases investment and ensures the participation of beneficiaries until closure.
• Creating awareness on the project's themes at the communities is of great importance and gives a good starting point for the training on the macro subjects.
• The trainings with local facilitators and materials from the area are more popular.
• Adaptation measures reduce the workload of women and ensure family support.                                                                                                                                                                                                                             • The communities have improved their capacity to adapt to climate change, improving their quality of life and that of their families. They acknowledge the work involved in implementing an adaptation measure and the effort of international organizations and national and local institutions.
</t>
  </si>
  <si>
    <t xml:space="preserve">• The materials for the implementation of the physical works comply with technical characteristics that allow the durability for more than 7 years. Quality tests were carried out during the installation of the materials with the suppliers, this guarantees the durability.
• Each community will have a regulation of water boards that covers the representativity and actions of user responsibilities. They include maintenance schedules and obligations for the sustainability of the physical work.
• A sustainability and closure plan was carried out that involves the delivery of incentives that increase the commitment of the beneficiary families to maintain the commitments.                                                                          
• The project executes the Strengthening, Sustainability and Closure Plans, which are a management tool that allows for the strengthening of measures in these areas.
</t>
  </si>
  <si>
    <t>Vulnerability studies, plans, measures and gender case studies were important inputs to determine the initial situation by parish and to be more precise in intervening with adaptation actions, reducing the workload for women and visualizing community work. The project periodically synthesizes information in 5 main matrixs: Monitoring, Hard Data, Supplies, Acquisitions and Training, where it is possible to follow up the progress of the measures, the items invested, the works carried out, the workshops given and the people trained.  Outside of these documents, other types of matrixs are requested with relevant information on project management in the provinces, planning and others.</t>
  </si>
  <si>
    <t>Yes, a Training Plan was prepared for the cantons of Pichincha.  Considering their cultural and ethnic context, facilitators from the area were hired.  The project proposed to train 15,000 people in the province of Pichincha and the Jubones river basin. At the moment the project has exceeded this amount and continues to train the co-executing agencies on the Strengthening, Sustainability and Closure Plan.</t>
  </si>
  <si>
    <t>The studies carried out by the project have a degree of complexity and the language is too technical. There are no documents that explain with a simple language the vulnerability in which they find themselves. The processes, tools and instruments used to retrieve existing information must be standardized and clear to correctly handle the information from the start of the execution. The changes generated and the lack of constant monitoring duplicate efforts to achieve the same result.</t>
  </si>
  <si>
    <t xml:space="preserve">Yes, through raising awareness on the issues, greater participation in the workshops and interest in learning more is promoted.
Yes, it has contributed because it is a goal that must be met and it contributes to the periodic planning and its respective follow-up.
</t>
  </si>
  <si>
    <t>WFP published the Annual Management Report in 2016, which contains an important section on the execution of FORECCSA.</t>
  </si>
  <si>
    <t>Testimony of Mrs. Teresa, a farmer from Buena Esperanza, a small village located in Cayambe, which is one of the 15,000 families that have improved their knowledge on climate change adaptation and have access to Irrigation systems through the implementation of reservoirs that allow the storage of water and improve agricultural productivity during the dry season.</t>
  </si>
  <si>
    <t xml:space="preserve">Climate change adaptation projects with participatory processes are being implemented.  They are part of the FORECCSA project, which is supported by the national government and financed with international funds.  </t>
  </si>
  <si>
    <t>Around 1,200 people attended the Festival of Andean Knowledge and Flavours to deal with climate change.  The event took place on Saturday at the Convention Center of the Pedro Moncayo canton in the province of Pichincha. This event, organized by the FORECCSA project of the Ministry of Environment (MAE), opened a space so that communities can share innovative experiences of the agricultural sector in relation to efficient practices, aimed at adapting to climate change.</t>
  </si>
  <si>
    <t xml:space="preserve">In Saraguro, knowledge and flavors against climate change are found. FORECCSA has invested in Saraguro 1 million 200 thousand dollars on climate change adaptation measures.  </t>
  </si>
  <si>
    <t>Representatives of thirty autonomous governments of the Jubones river basin, which includes the provinces of El Oro, Azuay and Loja, will meet on Thursday, in Saraguro, in the so-called "Festival of Andean Knowledge and Flavors to deal with climate change "</t>
  </si>
  <si>
    <t xml:space="preserve">In Seucer Bajo, in the canton of Lluzhapa, in Loja, crops sprinkled by water from natural springs that traveled 20 km before reaching a reservoir that was half built 15 years ago, but now operates thanks to the Foreccsa project, germinate. </t>
  </si>
  <si>
    <t>Population of the southern communities of the country concentrated in the Saraguro canton, in the province of Loja, will participate in the Andean knowledge and tastes festival to face climate change in the Jubones river basin, reported the Andes agency. It was developed between ancestral manifestations, reflections on climate change and recognition of the coordinated work between the Ministry of the Environment and the municipalities of the southern provinces of Loja, Azuay and El Oro.</t>
  </si>
  <si>
    <t>PROJECTED COST FOR 2017 IN PREVIOUS PPR</t>
  </si>
  <si>
    <t>This section corresponds to the budget allocated for the installation of meteorological stations. This work is coordinated with the National Meteorological Service and it will implemented by January 2018. In Addittion, the visor of climatic information system will be validated in the communities by Febraury 2018.</t>
  </si>
  <si>
    <t xml:space="preserve">It was planned to finance the monitoring system's update and its related monitoring field visits. The first activity was focused on adjusting and reviewing the logical framework within project extension time approved in June 2016. Since July the Project team has been working on updating the monitoring system. In 2017 the update was complemented. Besides a sistematization process of the project is carried out. </t>
  </si>
  <si>
    <t xml:space="preserve">The processes of contracting goods and services in the state were subject to restrictions and took more time than expected. After that CDN (Steering Committee) aproved WFP carried out the contracting goods and services of the project, it took more time than it was expected due to several simultaneous actions such as the Andean Knowledge and Taste Festivals to face climatic change, which all together brought delays to the project's execution and made it difficult to meet the implementation of adaptation measures closure date in November. </t>
  </si>
  <si>
    <t>A call for applications was launched in order to hire a consultant, however, the proposals received did not qualify. Thus, project staff assumed the design of the incentives strategy and the implementation is in processes that clousure next May 2018.</t>
  </si>
  <si>
    <t>Technical assistance for this activity was meant to be hired at the beginning of this year. However, because state restriction this process only could be done in March.</t>
  </si>
  <si>
    <r>
      <t xml:space="preserve">
Up to 2017, 7 videos have been developed that include testimonial and technical topics on the linkage of food security and adaptation to climate change with gender considerations. Additionally, the systematization of good practices and lessons learned from the project, by parish and measure typology, as well as the contribution of the project to public policies, is in process. It is estimated that this process will end in the first quarter of 2017.
On a regular basis, a two-page report (2 pager) is generated in which the main results and progress of the Project are exposed. As part of the dissemination of the Project experience, an article was prepared for the FAO-WFP Good Practice Document.  Another document for the Adaptation Fund that collects the experience of several projects financed in Latin America, including FORECCSA was also prepared.
The project´s experience was also presented by a WFP's official at the Adaptation Fund Side Event Showcases (Environmental and Social Policies in Helping Ensure Focus on Most Vulnerable), held at COP 23 in Bonn - Germany. (https://www.adaptation-fund.org/adaptation-fund-side-event-showcases-environmental-social-policies-helping-ensure-focus-vulnerable/)
In 2017, </t>
    </r>
    <r>
      <rPr>
        <sz val="11"/>
        <rFont val="Times New Roman"/>
        <family val="1"/>
      </rPr>
      <t>3 life storie</t>
    </r>
    <r>
      <rPr>
        <sz val="11"/>
        <color theme="1"/>
        <rFont val="Times New Roman"/>
        <family val="1"/>
      </rPr>
      <t xml:space="preserve">s were prepared and published.  One of them entered the WFP's competition in Rome for Food for Assets.  </t>
    </r>
    <r>
      <rPr>
        <sz val="11"/>
        <rFont val="Times New Roman"/>
        <family val="1"/>
      </rPr>
      <t xml:space="preserve">18 </t>
    </r>
    <r>
      <rPr>
        <sz val="11"/>
        <color rgb="FFFF0000"/>
        <rFont val="Times New Roman"/>
        <family val="1"/>
      </rPr>
      <t xml:space="preserve"> </t>
    </r>
    <r>
      <rPr>
        <sz val="11"/>
        <color theme="1"/>
        <rFont val="Times New Roman"/>
        <family val="1"/>
      </rPr>
      <t xml:space="preserve">life stories are being prepared as part of the sistematization process of the prject.  Since 2012, all the annual reports of the World Food Program in Ecuador have included a summary of the project and its advances.  On the other hand, the project's results and the positioning ot its activities have been exposed through five articles on national media (Vistazo Magazine, El Comercio newspaper and Ecuador TV). </t>
    </r>
  </si>
  <si>
    <r>
      <t>During 2017, 95 workshops have been developed in themes such as climate change, food security and gender.  3,015 people participated, of which 56% are women. Below are the results of these efforts by province:
Loja: 949 that represents 32% of the total trained during 2017
Azuay: 1153 that represents 38% of the total trained during 2017
Gold: 850 that represents 28% of the total trained during 2017
Pichincha: 63 that represents 2% of the total trained during 2017
The total of trained participants until 2017</t>
    </r>
    <r>
      <rPr>
        <sz val="11"/>
        <rFont val="Times New Roman"/>
        <family val="1"/>
      </rPr>
      <t xml:space="preserve"> is 19 percent more than the goal envisaged in the project.</t>
    </r>
  </si>
  <si>
    <r>
      <t xml:space="preserve">Institutional Agreements signed:
MAE-MAGAP-WFP
MAE-GAD PP
</t>
    </r>
    <r>
      <rPr>
        <sz val="11"/>
        <rFont val="Times New Roman"/>
        <family val="1"/>
      </rPr>
      <t xml:space="preserve">WFP-GAD PP
48 Letter of Agreements were signed for the implementation of adaptation measures and 2 will be signed in the next year
</t>
    </r>
    <r>
      <rPr>
        <sz val="11"/>
        <color theme="1"/>
        <rFont val="Times New Roman"/>
        <family val="1"/>
      </rPr>
      <t>- GADPP-Local Governments: 13 written agreements among Tabacundo, Cangagua, La Esperanza, Oton, Malchingui, Ayora, Azcasubi, Juan Montalvo, Tupigachi, Olmedo, Cayambe, Tocachi and Cusubamba.                                                                                                                                                                                                                                                                                                                                                                         
- MAE-Local Governments: 35  written agreements among El Tablón, Saraguro, San Sebastian de Yuluc, Lluzhapa, Selva Alegre, Nabón, Abañín, El Progreso, Susudel, San Fernando, Sumaypaba, Chilla, San Felipe de Oña, La Asunción, Abdón Calderón, Sharug, Cañaquemada, Uzhcurrumi, Manu, Celen, Cochapata, Pasaje, Casacay,  Carmen de Pijilí, Cumbe, Victoria del Portete, Giron, Pucará, San Gerardo, Chumblin, Las Nieves, Tenta, Urdaneta, Guanazán and Shagli. 
- MAE - Local Governments in process</t>
    </r>
    <r>
      <rPr>
        <sz val="11"/>
        <rFont val="Times New Roman"/>
        <family val="1"/>
      </rPr>
      <t>: 2 new agreements negociated to sign in the next year: Cañaribamba, Santa Isabel.C35</t>
    </r>
  </si>
  <si>
    <t>Based on the adaptation plans and vulnerability studies, concrete activities (adaptation measures) have been designed at the parish level in close coordination with the local governments and with the participation of communities. The design process of the measure was carried out by the project´s team with support from external consultants. The design phase involved a lot of time and efforts in order to obtain commitment from partners. The participation of the community and local authorities was crucial in order to guarantee sustainability and the cost-sharing with the local governments. 
The approval process of the adaptation measures goes from local to national level of governance and it counts with the inputs from GADPP, MAE, MAG and WFP. 
As a final result of the Project, 50 parochial adaptation measures have been designed corresponding to the measures prioritized in the parish adaptation plans. These measures were prioritized by the communities according to the following criteria: technical and financial feasibility, number of beneficiaries, relationship with the critical indicator of climate risk and food security, potential for generating synergies, and; priorities of local government and communities. In 2017, 3 adaptation measures were designed in the Jubones river basin and 3 adaptation measures for the province of Pichincha that were approved by the highest decision-making body of the project, the National Steering Committee.
It should be noted that the approval of the 3 adaptation measures developed for the parishes of Victoria del Portete, Juan Montalvo and Cayambe was based on:
1. Victoria del Portete: is a parish vulnerable to drought in the Jubones River basin that was intervened by the PACC Project (Flagship Project of the Undersecretariat of Climate Change - closed 2015), the adaptation action proposed by the PACC was the construction of a reservoir, however, the Parochial GAD of Victoria del Portete presented a proposal to strengthen the measure implemented by said project. The FORECCSA Project, with the purpose of strengthening and providing sustainability to the measure implemented by the PACC, as well as enhancing the benefit for the population, carried out another adaptation action that allowed the optimal operation of the reservoir of the irrigation system of the San Tomás micro-watershed, therefore, it is added to the measures implemented by FORECCSA.
2. Cayambe and Juan Montalvo: they are parishes of the Province of Pichincha that are considered vulnerable to the effects of climate change in the Provincial Climate Change Strategy, for this reason the executing partner GADPP decided to design the measures with the monetary balances of the 10 parishes identified.
It is emphasized that each parish adaptation measure integrates at least two types of measures, so in total 86 measures have been designed that cover the most vulnerable communities within each parish. The design of the measures responds to the participatory priorities established in the adaptation plan, which at the same time respond and to the critical indicators of food security that were identified in the vulnerability analysis.</t>
  </si>
  <si>
    <t xml:space="preserve">The overall rating for the project's implementation is satisfactory.  It is an innovative project that directly contributes to the improvement of food security and nutrition and to the resilience of the most vulnerable communities to the adverse effects of climate change. The linking of climate change with food security is an input that has been introduced into public policy, both nationally and locally.  2017 has been a year of consolidation of the adaptation measures implemented, which have been strengthened to ensure their sustainability through a strategy that incorporates the use of incentives, as well as the empowerment of local governments and the appropriation of measures by communities. In addition, this project represents a pioneering initiative that incorporates the impact of climate change on food security and gender equity, which is working on the design of diagnoses and proposals of interventions that have an equitable impact on men and women. 
All the processes during the design and implementation of measures have been participatory. In this sense, through participatory processes, local government and communities identified the climate threats, food insecurity and gender inequalities that needed to be addressed. After a vulnerability analysis, adaptation plans were developed in which the set of measures to be implemented were defined. This process also allowed the consolidation of a solid technical team, strengthening local and national capacities. This methodology of work has been developed and validated during the project’s execution and it can be replicated in similar contexts.
</t>
  </si>
  <si>
    <r>
      <t>The National Strategy of Climate Change (NSCC), approved in 2012 and currently under implementation, strengthens the capacity building of sectorial ministries and local governments, in order to implement their actions according to NSCC guidelines. These actions are aligned to the Political Constitution of Ecuador, the National Plan for Good Living and several legal instruments that provide guidelines for the implementation of the national policies.  Thus, even though there are and will be changes among local authorities, they will have to follow the National Strategy. In addition, in 2017 the Organic Environmental Code (COA) was issued, which addresses topics ranging from the powers of the national environmental authority, actions against climate change, biodiversity, protected area management and also includes wildlife</t>
    </r>
    <r>
      <rPr>
        <sz val="11"/>
        <color rgb="FFFF0000"/>
        <rFont val="Times New Roman"/>
        <family val="1"/>
      </rPr>
      <t>,</t>
    </r>
    <r>
      <rPr>
        <sz val="11"/>
        <rFont val="Times New Roman"/>
        <family val="1"/>
      </rPr>
      <t xml:space="preserve"> urban and waste management. This reinforces the regulatory framework and ensures the continuity of actions. On the other hand, the Undersecretary of Climate Change and the Director of Adaptation were ratified by the new Government of Ecuador, so continuity is assured. It is noteworthy that the current Undersecretary of Climate Change occupied the position of Director of Adaptation until 2013 and therefore participated in the formulation, negotiation and start-up of the FORECCSA Project and since 2016 it has been reinstated in the position.</t>
    </r>
  </si>
  <si>
    <t xml:space="preserve">The FORECCSA Project has multiple levels of training that respond to the project implementation process. Therefore, workshops have been developed to:
(i) implementation of of 9 types of adaptation measures (See output 2.1.1):
The training program focused on improving knowledge in the following areas:
         a) themes of the project axes - climate change, food security and gender
          b) technical issues related to the types of measures promoted by the project
          c) issues related to climate change impact on food security and nutrition 
          d) training for trainers in a context of climate change and food security 
      The methodology "training for trainers" created capacities within local governments. MAE technicians trained technicians from the parish governments and the parish governments trained the participants (community level).
(ii) measurement of the change produced with the implementation of the adaptation measure prior to its delivery to the community
     The reinforcement of the training is oriented to:
          a) measure the degree of compliance with the objectives and commitments assumed by the community where the measure is implemented
          b) qualitative identification of the benefits received by project participants
          c) measure the perception of reduction of workload among women as a result of the implementation of the measure
          d) measure the level of retention of the key messages taught in the training processes
During 2017, 95 workshops have been developed with an active participation of 33 parishes (32 from Jubones and 1 from Pichincha), there are attendance records that show this participation.
It should be noted that during the period 2015-2017, the 50 parishes participating in the implementation of adaptation measures have been trained, through the preparation and implementation of the capacity building plan of the FORECCSA Project. </t>
  </si>
  <si>
    <t xml:space="preserve">During 2017, activities have been carried out that allow the population of the parishes to be aware of the risk of climate change on their livelihoods. To this end, rural and cantonal parish fairs have been developed with the aim of raising awareness about adaptation to climate change with an emphasis on food security. In these fairs, spaces are promoted so that households can share the strategies that guarantee them an adequate diet. 8 fairs have been developed in the Jubones basin and in Pichincha, where an average of 19,182 people have participated. It should be noted that it has been difficult to register the participants in the mass events, however there are photographic and audiovisual records that show the active participation of families in the fairs and their appropriation of the project proposal.
Other activities that are considered as events for the awareness of the population are the exchanges of experiences between the prioritized parishes of both Jubones and Pichincha. Six processes for the exchange of experiences were carried out in 2017, involving around 2,734 delegates from the communities covered by the project. Additionally, it is mentioned that the Project has participated in a meeting of rural women where the importance of the women's role to tackle climate change and food insecurity was exposed.  This event had an audience of 1,500 women who perceived an improvement on their knowledge related to gender and their role in regards to climate change adaptation.  </t>
  </si>
  <si>
    <t xml:space="preserve">As part of the project's sustainability, WFP deemed that it was necessary that the adaptation measures developed by the local governments receive the Ministry's of Environment endorsement.  By receiving the MAE's approval, the local governments will be able to continue developing the adaptation measures already identified as a priority in each plan that was developed with the project's support.  </t>
  </si>
  <si>
    <t xml:space="preserve">As part of the project's sustainability, the project's National Directive Board agreed to develop Sustainability Plans for each adaptation measure developed as part of the project.  These plans included concrete measures to be considered as part of the project's closure process and also, specific and clear guidelines to assure the continuity of actions and the further strengthening of the resilience and adaptation capabilities of the local stakeholders.  This process actively engaged the local governments, as they are the main actors that will continue with the activities once the project is over.  </t>
  </si>
  <si>
    <t>Climate change adaptation measures have not been incorporated in policies, strategies, and plans of local governments.</t>
  </si>
  <si>
    <r>
      <t xml:space="preserve">MCRJ </t>
    </r>
    <r>
      <rPr>
        <sz val="11"/>
        <rFont val="Times New Roman"/>
        <family val="1"/>
      </rPr>
      <t>(Mancomunidad de la Cuenca del Río Jubones)</t>
    </r>
    <r>
      <rPr>
        <sz val="11"/>
        <color theme="1"/>
        <rFont val="Times New Roman"/>
        <family val="1"/>
      </rPr>
      <t xml:space="preserve"> is going through a re-organization process to become a local governmental consortium.  During this period of change the leadership may redirect its priorities towards different objectives.
Identified in </t>
    </r>
    <r>
      <rPr>
        <sz val="11"/>
        <rFont val="Times New Roman"/>
        <family val="1"/>
      </rPr>
      <t>2014: CCRJ (Consorcio de la Cuenca del Río Jubones) is shown weaknesses due to recent election and changes in its structure.</t>
    </r>
    <r>
      <rPr>
        <sz val="11"/>
        <color theme="1"/>
        <rFont val="Times New Roman"/>
        <family val="1"/>
      </rPr>
      <t xml:space="preserve"> </t>
    </r>
    <r>
      <rPr>
        <sz val="11"/>
        <rFont val="Times New Roman"/>
        <family val="1"/>
      </rPr>
      <t>Th</t>
    </r>
    <r>
      <rPr>
        <sz val="11"/>
        <color theme="1"/>
        <rFont val="Times New Roman"/>
        <family val="1"/>
      </rPr>
      <t>e implementation timeframe of the project could be affected.</t>
    </r>
  </si>
  <si>
    <t>The MAE and the National Meteorological Service (INAMHI), among other institutions, have generated climate change scenarios for Ecuador with a projection from 2031-2071 and 2100. These scenarios include a selection of the best models and advanced techniques for managing uncertainty. This work was developed as part of the Third National Communication on Climate Change and has provided detailed information for the policymakers and decision makers in order to improve mitigation and adaptation actions. The MAE has organized a series of socialization and delivery of results events. The project is using this information to complete vulnerability analyzes that were conducted in previous years focusing in scenarios for the local level. This information is being shared with Local Governments in order to motivate their interest and to define actions for the mitigation of the possible scenarios.
In previous years, the Project took other measures to mitigate this risk, but since 2014 it developed its methodology to assess vulnerability by integrating adaptation to climate change and food security into territorial planning. This methodology was approved by the MAE and validated by the partners, including the WFP. It was used to carry out rapid assessments in 45 parishes. During 2015 a global analysis of the Watershed was carried out, based on the rapid assessments made by the parish that incorporates the Climate Information System developed by CIIFEN for the Jubones Watershed. On 2016 a vulnerability analysis was carried out with emphasis on food security in the Jubones Watershed.
The GADPP generated an assessment of microclimates in the target area through a correlation analysis carried out in the study entitled "Climatic Impacts of El Niño and La Niña Events in the Territory of the Province of Pichincha". The results of this study confirm that the amount and the temporal distribution of temperature and precipitation vary over short distances.
In addition, the Project, in coordination with INAMHI, will install equipment to strengthen the national network of meteorological stations in the selected areas to improve the generation of official data.                                                                                                                                                                                           
In 2017, the Ministry of the Environment presented the Third National Communication on Climate Change which through a joint and articulated work between governmental, research and civil society entities supported the generation of official and accurate information that resulted into a solid and complete report that allows the country to have an important input for political and strategic decision making to face climate change. This report includes the climate projections of precipitation and temperature for Ecuador, under different climate change scenarios, thus exceeding the risk identified at the beginning of the Project.</t>
  </si>
  <si>
    <t>Procurement process done by
GADPP through the procurement digital government system under method called Inverse Auction (Portal de Compras Públicas - Subasta Inversa). There were six bids. In the selection process only four of the bids went through.
Of this four, the bid with the
lowest price was selected. A total value of the savings was of
$6,000,00.
The offeror made a reduction of
31% and was contracted.</t>
  </si>
  <si>
    <r>
      <t xml:space="preserve">Ecuador experiences extreme events on a yearly basis. The project assets constructed are designed to withstand severe floodings.  However, these climatic events have impacted the construction schedule of some of the project's infrastructures.  This was a high risk by the end of 2015 and caused significant delays on construction works during 2016.  However, this did not jeopardize the finalization of works and infrastructure. During 2016, the project improved its planning scheme so as to better coordinate the construction works in coordination with the providers and constructors.  Taking into account the lessons learnt from 2016, </t>
    </r>
    <r>
      <rPr>
        <sz val="11"/>
        <rFont val="Times New Roman"/>
        <family val="1"/>
      </rPr>
      <t>in 201</t>
    </r>
    <r>
      <rPr>
        <sz val="11"/>
        <color theme="1"/>
        <rFont val="Times New Roman"/>
        <family val="1"/>
      </rPr>
      <t xml:space="preserve">7, we kept the overall rating </t>
    </r>
    <r>
      <rPr>
        <sz val="11"/>
        <color theme="1"/>
        <rFont val="Times New Roman"/>
        <family val="1"/>
      </rPr>
      <t>at Medium.</t>
    </r>
  </si>
  <si>
    <r>
      <t xml:space="preserve">The hiring processes carried out by the Ecuadorian state entities are long and undergo constant rule changes. For this reason, the Pichincha Government acquisitions had a significant delay in 2017. On the other hand, the electoral process to change the Government in Ecuador brought a pause in the processes while defining if the line of government was going to remain the same.  The government's transition included the appointment of new Ministers, which along with the change of WFP's procurement staff affected the foreseen execution schedule.  Moreover, there were several simultaneous actions such as the Andean Knowledge and Taste Festivals to face climatic change, which all together brought delays to the project's execution and made it difficult to meet the implementation of adaptation measures closure date in </t>
    </r>
    <r>
      <rPr>
        <sz val="11"/>
        <rFont val="Times New Roman"/>
        <family val="1"/>
      </rPr>
      <t>November</t>
    </r>
    <r>
      <rPr>
        <sz val="11"/>
        <color theme="1"/>
        <rFont val="Times New Roman"/>
        <family val="1"/>
      </rPr>
      <t>.  It is expected that the operational closure will take at least until April 2018.</t>
    </r>
  </si>
  <si>
    <t>Taking into account the amount of time needed for the procurement processes, the project staff conducts deep reviews of the technical studies and validates the information in a prompt manner. This is done in coordination with the procurement unit of WFP in order to ensure that the technical specifications are as detailed as possible. The field team has been strengthened with a local technical coordinator for Jubones, in order to plan the purchase requirements and better coordinate activities in the field. However, the dynamics of the process means that some requests need to be launched more than once due to the fact that bidders do not always comply with all the requirements. Active monitoring has been conducted in order to avoid this situation.  However, due to external factors such as the government's transition and internal ones such as the change of WFP's procurement staff, this processes were delayed and a review and update of the implementation schedule according to previous FORECCSA Annual Work Plan.</t>
  </si>
  <si>
    <t xml:space="preserve">Presidential and Parliament elections were held on 2017, with a new government elected on the second round that took place of April 2017. The uncertainty related to the continuity of national governmental authorities had an impact on the first 6 months of 2017 and the transition process delayed some project activities. Nowadays the Undersecretary of Climate Change was involved in the first phase of FORECCSA project implementation. </t>
  </si>
  <si>
    <r>
      <t>The project has been assessed according to the risks related to local management mechanisms. The members of the Steering Committee periodically analyzed challenges and risks during 2017</t>
    </r>
    <r>
      <rPr>
        <sz val="11"/>
        <color theme="1"/>
        <rFont val="Times New Roman"/>
        <family val="1"/>
      </rPr>
      <t xml:space="preserve">. One of the most important issues was the delay in project implementation and ownerships from local governments when a need occured for change of interaction with CCRJ.
The mixed modality, between MAE, CCRJ and direct implementation through Parishes in Jubones, is a clear response to risk management. This new modality allows the direct participation of Parish local governments so ownership and sustainability is secured. To minimize procurement delays and solve the VAT issue, WFP as per MAE's request, is in charge of of the procurement of most goods and services. WFP rules and regulations allow VAT refund from government.  However, this refund is not being made due to the lack of government's resources.
As an implementing partner, WFP has intervened not only at the technical and operational level but also at the political level to discuss challenges faced by the project implementation and look for constructive solutions. Significant and frequent changes in MAE's authorities during 2016 required WFP's continuous advocacy to maintain commitment and continuity. The continuity of the Project Manager and the project technical team has helped the project continue its activities despite the changes of authorities at the national and local level.  </t>
    </r>
  </si>
  <si>
    <r>
      <t>According to the national decentralization law (COOTAD for its Spanish acronym), local governments have designed Development and Land Use Plans (PDOT for its Spanish acronym) outlining their priorities. Therefore, project activities focus on developing Adaptation to Climate Change Plans with a participatory approach that will be eventually included in these plans.  
On July 2014, the Ministry of Environment of Ecuador (MAE) published the "Guide for application of general guidelines for Climate Change Plans and Strategies on Local Governments". During 2015, some climate change projects of the Undersecretary of Climate Change of MAE, including the FORECCSA Project, used this guide to work with local governments on the update of theirs PDOT to: include Climate Change (CC) in planning; gender; and, include food security indicators most affected by CC threats in several sections of the plan (diagnosis, territorial model/proposal and management model). The Project worked with 13 local provincial governments (2 Cantons in Pichincha and 11 Parishes in Jubones). It is worth mentioning that the implementation of adaptation measures was prioritized by the local authorities. 
The Provincial Government of Pichincha has developed its Institutional Climate Change Strategy aligned with the NSCC and it has been implemented since 2014. FORECCSA Project contributes to the objectives of the strategy that the Pichincha government has been implementing. In the case of Jubones, 45 Local Governments have adaptation plans and they have incorporated their contents into local Development Plans.  These activities will allow local g</t>
    </r>
    <r>
      <rPr>
        <sz val="11"/>
        <rFont val="Times New Roman"/>
        <family val="1"/>
      </rPr>
      <t xml:space="preserve">overnments to implement actions considering CC risks. 
Until 2017, 49 adaptation plans have been developed in the same number of parishes. These have contributed for the GADs (Gobiernos Autónomos Descentralizados -  Decentralized Autonomous Governments or local governments) </t>
    </r>
    <r>
      <rPr>
        <sz val="11"/>
        <color theme="1"/>
        <rFont val="Times New Roman"/>
        <family val="1"/>
      </rPr>
      <t xml:space="preserve">to include considerations of climate change, food security and gender into the Development Plans and Territorial Ordinances that by Law were updated during that year. 
In 2015, it was identified that 19 local governments (2 provincial and 17 parishes) incorporated the information generated throught the Project into the PDOTs and that the adaptation measures are among its priorities. In 2017, 31 Jubones adaptation plans were validated and in the process it was possible to generate cantonal and parochial resolutions that declare adaptation to climate change as a priority, with emphasis on food security and gender considerations, as well as the willingness to continue working on the theme after the Project. At the moment, the plans of three parishes are in the approval process to get the official endorsement of the MAE, and these local governments have also already generated their resolutions. In 2017, four new plans were developed (included in the 49 that are reported). In this way, it has been possible to empower the GADS so that they assume and promote the subjects promoted by the Project. </t>
    </r>
  </si>
  <si>
    <r>
      <t xml:space="preserve">A training plan adapted to the reality of each work area has been developed.  In the case of Pichincha it is composed of four modules and for Jubones it has 13 modules.  This difference is because in Pichincha there is only one type of adaptation measure being implemented, while in Jubones, there are nine types being implemented and the approach is different. The plan and contents ensure that participants are trained on the topics of adaptation measures and integrate explicit and cross-cutting food safety and gender content, as well as its relationship with climate change; that is to say, they are integrated in all modules and training programs.
The training process has been implemented following the principles of adult training, considering the gender approach and adopting measures that facilitate the participation of women. In 2017, 78 training events were held on the topics of the measures, with the participation of 2,483 people, of whom 57.19% (1,420) were women, which exceeds what is proposed in the indicator.
</t>
    </r>
    <r>
      <rPr>
        <sz val="11"/>
        <color rgb="FFFF0000"/>
        <rFont val="Times New Roman"/>
        <family val="1"/>
      </rPr>
      <t/>
    </r>
  </si>
  <si>
    <t xml:space="preserve">Until now 35 convenios agreements have been signed between MAE and the local governments in order to implement adaptation actions in Jubones watershed and ensure their sustainability. This actions were possible due to the new mode of execution that was opened in 2015. WFP, according to the resolutions of the CRC, it has provided support for the procurement process of the supplies. In the case of Pichincha, there is an amendment with the GADPP to continue with the implementation of the adaptation measures and other components of the project to achieve the results, In addition, this the executing partner has signed 13 agreements with the parishes in the province.
</t>
  </si>
  <si>
    <r>
      <t xml:space="preserve">
In 2017, 21,916 people participated in awareness events on climate change and food security. It is estimated that they represent a total of 4.383 households (considering an average of 5 members per household). </t>
    </r>
    <r>
      <rPr>
        <sz val="11"/>
        <color rgb="FFFF0000"/>
        <rFont val="Times New Roman"/>
        <family val="1"/>
      </rPr>
      <t xml:space="preserve">
</t>
    </r>
  </si>
  <si>
    <t>Without measure</t>
  </si>
  <si>
    <t xml:space="preserve">Positive:
• The more options there are to improve conditions and livelihoods, the greater the importance that the community will assign to the implementation of the Adaptation Measures.
• Increase adaptation capacity depends on the commitment and management of the communities.
• The articulation with local actors: MAG, GADPP, GADs are decisive for the effectiveness of the processes.
• Community irrigation measures ensure greater resilience capacity of the community in the face of the impact of climate change.
• Community-based adaptation promotes unity and community work.                                                                                                                                                                                                                                                                                          
• There is a high level of empowerment of local actors and coexecutors with the FORECCSA project.
• The project has a multidisciplinary team, with a willingness to take on the challenges presented by the project in its execution.
• The technical team has knowledge and experience in the implementation of adaptation measures.
• Project managers are open to proposals submitted from the territory, and seek to optimize time in their decision making.
• There are good inter-institutional relationships.
Negative:
• From the beginning of the project, partners such as the MAG and GADPP were not clear about their action on the project components due to their weak management of adaptation issues.
• The weakening of leadership and change of authorities produce complexities, conflicts, breach of agreements and delays the actions.
• Purchasing processes are long and delay the the implementation schedules of adaptation measures.
• The community irrigation baseline does not allow to measure efficiency and effectiveness through the project indicators, because each user of the irrigation water has different crops and land extensions.
• The communities present a list of limited priorities that are often physical works such as: access roads that do not reduce vulnerability to climate change.
• Delay in the procurement process delays the implementation and generates discomfort with co-executing agencies.
• Some processesand tools were not optimal for this project so it doubled and lost information.
</t>
  </si>
  <si>
    <t xml:space="preserve">• Consideration has been given to the workload that women have.  The “mingas” are mostly held over the weekend, where husbands are present at home so that they (the women and men) can participate in those spaces.
• Gender was mainstreamed into the entire training plan.  Due to the fact that the workshops had the largest participation of women, it was possible to strengthen areas that require more support from rural women.                                                                                                                                                                                                                                                                                                                                                            • Adaptation implies taking actions based on awareness of the impacts of climate change and threats. Obtaining climate information should be promoted to identify concrete forms of adaptation and can support the incorporation of climate change in local planning.
• The competences of the local stakeholders and the weak knowledge related to adaptation limits and prevents the appropriate execution of project components.                                                                               
• The project seeks to reduce the workload of women in the field. Applying easy-to-use practical technologies that cover a significant area of land, reducing the time and effort that women invest in carrying out irrigation manually or in their routes to bring goods or products (drinking water, vegetables and pastures) over long distances. The measures mentioned are related to drinking water, irrigated land, silvopastures, agroforestry orchards and small animals. This is strengthened with the knowledge imparted to improve their practices.
• On the other hand, it seeks to increase its participation in social processes. Not a passive participation, but an active participation in decision making and incidence in the organization. For this, the technical team provides gender workshops to the different communities in which it works and promotes women's intervention in the different activities and events of FORECCSA
</t>
  </si>
  <si>
    <t xml:space="preserve">Positive Lessons
• Community-based adaptation requires a high commitment from its executors, such as: economic contributions, time and energy to carry out activities such as “mingas” that generate local benefits.
• Community irrigation was strengthened and the community's livelihoods improved. The availability of food at family level was ensured                                                                                                                                  .
• The measures arise from the needs identified through a participatory process as part of a Vulnerability Analysis and are developed and prioritized through an adaptation plan.
• Wide acceptance of local authorities and co-executing agencies.
• The technical team is very committed to their work, a situation that is reflected in the measures implemented.
• The project finances several initiatives without requesting reimbursement. Situation that is important given that the economy of the country is depressed.
• Co-executors are motivated to receive the project and strive to achieve the best.
Negative Lessons
• There was no strategic alignment with the executing partner, due to their weak management of adaptation issues.
• The impact of climatic threats affects the subsistence of the communities and the local economy.
• There is no priority in local planning on adaptation issues, because priority is given to meeting the needs of basic services: electricity, public roads, sewerage, etc.                                                                                                      • The acquisition process delays the implementation of the measure that generates unrest among local partners and the delay in hiring local promoters. 
</t>
  </si>
  <si>
    <r>
      <t xml:space="preserve">Since 2015, as part of the Climatic Information System, the Project started to assess the training of local authorities and technicians regarding climate change, food security and gender. This plan has the objective of improving local capacity and methodologies to manage climate change under local priorities. Nowadays, 275 technicians from Local Governments and National Entities have been trained. </t>
    </r>
    <r>
      <rPr>
        <sz val="11"/>
        <color theme="1"/>
        <rFont val="Times New Roman"/>
        <family val="1"/>
      </rPr>
      <t xml:space="preserve">
Additionally, and as part of the adaptation measures to climate change, there is a capacity plan for the families and communities to improve knowledge and increase resilience regarding climate change treats. Also the staff from local governments participate in activities to increase awareness on climate change, food security, nutrition and gender.
In order to strengthen previous actions, the Project, along with the National Meteorological Service (INAMHI) will develop Climate Forums in strategic sectors of the intervention area.
In 2017, three important training events were held for officials of MAE, MAGP, SGR and INAMHI in relation to the Support System for Climate Risk Management for Food Security in the Jubones basin.</t>
    </r>
  </si>
  <si>
    <t xml:space="preserve">Coordination between local governments, the FORECCSA team and MAE has been strengthened. Nowadays, with the new implementation modality that started at Jubones, the GADs become co-executors of the project and lead actions in their territory. They have included cost-sharing costs within their budgets for the implementation of adaptation measures in their territories. FORECCSA team is providing permanent support for the planning, monitoring and evaluation activities at the local level. Additionally, through the capacity-building plan, the project is increasing knowledge and ensuring participation and gender equality. Thus, local communities take part in decision-making processes (taking into account gender issues) and on the execution of concrete activities to increase their adaptation capacity and resilience to the impacts of climate change that affect their food security. </t>
  </si>
  <si>
    <r>
      <t>Under a harmonized approach to cash transfers (HACT), this amount includes only expenses made by: a) WFP on behalf of MAE - executing agency, b) MAE as national executing agency; c) CCRJ as local executing partner; and d) GAD PP as local executing partner.
The amount o</t>
    </r>
    <r>
      <rPr>
        <sz val="11"/>
        <rFont val="Times New Roman"/>
        <family val="1"/>
      </rPr>
      <t>f $ 2.270.953</t>
    </r>
    <r>
      <rPr>
        <sz val="11"/>
        <color indexed="8"/>
        <rFont val="Times New Roman"/>
        <family val="1"/>
      </rPr>
      <t xml:space="preserve"> is an accumulative expense amount up to December 31st, 2015 and represents 52% of actual disbursement of AF. The amount for 2015 (January to December) is US$ </t>
    </r>
    <r>
      <rPr>
        <sz val="11"/>
        <rFont val="Times New Roman"/>
        <family val="1"/>
      </rPr>
      <t xml:space="preserve">853.840,13
 </t>
    </r>
  </si>
  <si>
    <r>
      <t xml:space="preserve">Under a harmonized approach to cash transfers (HACT), this amount includes only expenses made by: a) WFP on behalf of MAE - executing agency, b) MAE as national executing agency; c) CCRJ as local executing partner; and d) GAD PP as local executing partner.
</t>
    </r>
    <r>
      <rPr>
        <sz val="11"/>
        <rFont val="Times New Roman"/>
        <family val="1"/>
      </rPr>
      <t>The amount of $5,139,112 is an accumulative expense amount up to December 31st, 2017 and represents 81% of actual disbursement of AF. The amount for 2017 (January to December) is US$ 834,466.</t>
    </r>
  </si>
  <si>
    <t>August 2018</t>
  </si>
  <si>
    <t>The lowest price supplier was selected (15,430). Note that the bids were without VAT and the winning amount (column F) includes VAT.</t>
  </si>
  <si>
    <t>Local Climate Infomation System - Jubones Basin (CIIFEN)</t>
  </si>
  <si>
    <t>1: Not improved</t>
  </si>
  <si>
    <t>Water reservoires improved/constructed</t>
  </si>
  <si>
    <t>Water reservoires improved/constructed. This allowed an increase in water storage capacity of 188,000 m3.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</si>
</sst>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_(* \(#,##0.00\);_(* &quot;-&quot;??_);_(@_)"/>
    <numFmt numFmtId="164" formatCode="_(&quot;$&quot;\ * #,##0.00_);_(&quot;$&quot;\ * \(#,##0.00\);_(&quot;$&quot;\ * &quot;-&quot;??_);_(@_)"/>
    <numFmt numFmtId="165" formatCode="dd\-mmm\-yyyy"/>
    <numFmt numFmtId="166" formatCode="_(* #,##0.00_);_(* \(#,##0.00\);_(* \-??_);_(@_)"/>
    <numFmt numFmtId="167" formatCode="[$-409]mmmm\ d\,\ yyyy;@"/>
    <numFmt numFmtId="168" formatCode="_(* #,##0_);_(* \(#,##0\);_(* &quot;-&quot;??_);_(@_)"/>
    <numFmt numFmtId="169" formatCode="_(&quot;$&quot;\ * #,##0_);_(&quot;$&quot;\ * \(#,##0\);_(&quot;$&quot;\ * &quot;-&quot;??_);_(@_)"/>
    <numFmt numFmtId="170" formatCode="&quot;$&quot;\ #,##0.00"/>
    <numFmt numFmtId="171" formatCode="0.0%"/>
    <numFmt numFmtId="172" formatCode="&quot;$&quot;\ #,##0.0"/>
  </numFmts>
  <fonts count="114"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43"/>
      <name val="Times New Roman"/>
      <family val="1"/>
    </font>
    <font>
      <i/>
      <sz val="11"/>
      <name val="Times New Roman"/>
      <family val="1"/>
    </font>
    <font>
      <b/>
      <sz val="11"/>
      <color indexed="10"/>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b/>
      <sz val="11"/>
      <color rgb="FF000000"/>
      <name val="Times New Roman"/>
      <family val="1"/>
    </font>
    <font>
      <b/>
      <sz val="11"/>
      <color theme="1"/>
      <name val="Times New Roman"/>
      <family val="1"/>
    </font>
    <font>
      <i/>
      <sz val="11"/>
      <color theme="1"/>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color theme="1"/>
      <name val="Calibri"/>
      <family val="2"/>
      <scheme val="minor"/>
    </font>
    <font>
      <sz val="8"/>
      <color indexed="81"/>
      <name val="Tahoma"/>
      <family val="2"/>
    </font>
    <font>
      <b/>
      <sz val="8"/>
      <color indexed="81"/>
      <name val="Tahoma"/>
      <family val="2"/>
    </font>
    <font>
      <sz val="11"/>
      <color rgb="FFFF0000"/>
      <name val="Times New Roman"/>
      <family val="1"/>
    </font>
    <font>
      <sz val="11"/>
      <color rgb="FF000000"/>
      <name val="Calibri"/>
      <family val="2"/>
      <charset val="1"/>
    </font>
    <font>
      <b/>
      <sz val="11"/>
      <color theme="0"/>
      <name val="Times New Roman"/>
      <family val="1"/>
    </font>
    <font>
      <u/>
      <sz val="11"/>
      <name val="Times New Roman"/>
      <family val="1"/>
    </font>
    <font>
      <sz val="11"/>
      <color theme="0"/>
      <name val="Times New Roman"/>
      <family val="1"/>
    </font>
    <font>
      <i/>
      <sz val="11"/>
      <color rgb="FFFF0000"/>
      <name val="Times New Roman"/>
      <family val="1"/>
    </font>
    <font>
      <b/>
      <u/>
      <sz val="11"/>
      <color indexed="8"/>
      <name val="Times New Roman"/>
      <family val="1"/>
    </font>
    <font>
      <b/>
      <sz val="9"/>
      <color rgb="FF9C6500"/>
      <name val="Calibri"/>
      <family val="2"/>
      <scheme val="minor"/>
    </font>
    <font>
      <sz val="10"/>
      <name val="Calibri"/>
      <family val="2"/>
      <scheme val="minor"/>
    </font>
    <font>
      <sz val="11"/>
      <color rgb="FF000000"/>
      <name val="Calibri"/>
      <family val="2"/>
      <scheme val="minor"/>
    </font>
    <font>
      <sz val="10"/>
      <color theme="1"/>
      <name val="Calibri"/>
      <family val="2"/>
      <scheme val="minor"/>
    </font>
    <font>
      <sz val="10"/>
      <name val="Calibri"/>
      <family val="2"/>
    </font>
    <font>
      <b/>
      <u/>
      <sz val="11"/>
      <name val="Times New Roman"/>
      <family val="1"/>
    </font>
    <font>
      <b/>
      <sz val="14"/>
      <color theme="0"/>
      <name val="Tahoma"/>
      <family val="2"/>
    </font>
    <font>
      <sz val="14"/>
      <color theme="0"/>
      <name val="Tahoma"/>
      <family val="2"/>
    </font>
    <font>
      <b/>
      <sz val="16"/>
      <color theme="0"/>
      <name val="Tahoma"/>
      <family val="2"/>
    </font>
    <font>
      <b/>
      <sz val="11"/>
      <color rgb="FF0070C0"/>
      <name val="Tahoma"/>
      <family val="2"/>
    </font>
    <font>
      <b/>
      <sz val="10"/>
      <color theme="1"/>
      <name val="Tahoma"/>
      <family val="2"/>
    </font>
    <font>
      <b/>
      <sz val="11"/>
      <color theme="1"/>
      <name val="Tahoma"/>
      <family val="2"/>
    </font>
    <font>
      <b/>
      <sz val="14"/>
      <color theme="1"/>
      <name val="Tahoma"/>
      <family val="2"/>
    </font>
    <font>
      <b/>
      <sz val="10"/>
      <color theme="2" tint="-0.89999084444715716"/>
      <name val="Tahoma"/>
      <family val="2"/>
    </font>
    <font>
      <sz val="10"/>
      <color theme="2" tint="-0.89999084444715716"/>
      <name val="Tahoma"/>
      <family val="2"/>
    </font>
    <font>
      <sz val="11"/>
      <color theme="2" tint="-0.89999084444715716"/>
      <name val="Tahoma"/>
      <family val="2"/>
    </font>
    <font>
      <b/>
      <sz val="11"/>
      <color theme="2" tint="-0.89999084444715716"/>
      <name val="Tahoma"/>
      <family val="2"/>
    </font>
    <font>
      <sz val="11"/>
      <color theme="2" tint="-0.89999084444715716"/>
      <name val="Calibri"/>
      <family val="2"/>
      <scheme val="minor"/>
    </font>
    <font>
      <u/>
      <sz val="11"/>
      <name val="Calibri"/>
      <family val="2"/>
    </font>
    <font>
      <sz val="11"/>
      <name val="Calibri"/>
      <family val="2"/>
      <scheme val="minor"/>
    </font>
    <font>
      <b/>
      <sz val="9"/>
      <color indexed="81"/>
      <name val="Tahoma"/>
      <family val="2"/>
    </font>
    <font>
      <sz val="9"/>
      <color indexed="81"/>
      <name val="Tahoma"/>
      <family val="2"/>
    </font>
    <font>
      <sz val="12"/>
      <color theme="1"/>
      <name val="Cambria"/>
      <family val="1"/>
    </font>
    <font>
      <b/>
      <sz val="12"/>
      <color theme="1"/>
      <name val="Cambria"/>
      <family val="1"/>
    </font>
    <font>
      <sz val="11"/>
      <color rgb="FFFF0000"/>
      <name val="Calibri"/>
      <family val="2"/>
      <scheme val="minor"/>
    </font>
    <font>
      <b/>
      <sz val="11"/>
      <name val="Calibri"/>
      <family val="2"/>
      <scheme val="minor"/>
    </font>
    <font>
      <b/>
      <sz val="11"/>
      <color theme="1"/>
      <name val="Calibri"/>
      <family val="2"/>
      <scheme val="minor"/>
    </font>
    <font>
      <b/>
      <sz val="10"/>
      <name val="Times New Roman"/>
      <family val="1"/>
    </font>
    <font>
      <b/>
      <i/>
      <sz val="12"/>
      <name val="Times New Roman"/>
      <family val="1"/>
    </font>
    <font>
      <b/>
      <sz val="9"/>
      <name val="Times New Roman"/>
      <family val="1"/>
    </font>
    <font>
      <sz val="10"/>
      <color rgb="FFFF0000"/>
      <name val="Times New Roman"/>
      <family val="1"/>
    </font>
    <font>
      <b/>
      <i/>
      <sz val="10"/>
      <name val="Times New Roman"/>
      <family val="1"/>
    </font>
    <font>
      <b/>
      <sz val="9"/>
      <color theme="2" tint="-0.89999084444715716"/>
      <name val="Times New Roman"/>
      <family val="1"/>
    </font>
    <font>
      <b/>
      <sz val="11"/>
      <color theme="2" tint="-0.89999084444715716"/>
      <name val="Times New Roman"/>
      <family val="1"/>
    </font>
    <font>
      <sz val="8"/>
      <color indexed="8"/>
      <name val="Calibri"/>
      <family val="2"/>
    </font>
    <font>
      <b/>
      <sz val="8"/>
      <color indexed="8"/>
      <name val="Calibri"/>
      <family val="2"/>
    </font>
    <font>
      <sz val="10"/>
      <color indexed="8"/>
      <name val="Times New Roman"/>
      <family val="1"/>
    </font>
    <font>
      <sz val="10"/>
      <color theme="1"/>
      <name val="Times New Roman"/>
      <family val="1"/>
    </font>
    <font>
      <sz val="10"/>
      <color rgb="FF000000"/>
      <name val="Times New Roman"/>
      <family val="1"/>
    </font>
    <font>
      <b/>
      <sz val="10"/>
      <color indexed="8"/>
      <name val="Times New Roman"/>
      <family val="1"/>
    </font>
    <font>
      <b/>
      <sz val="12"/>
      <color theme="1"/>
      <name val="Calibri"/>
      <family val="2"/>
    </font>
    <font>
      <sz val="11"/>
      <name val="Times New Roman"/>
      <family val="1"/>
      <charset val="1"/>
    </font>
    <font>
      <b/>
      <sz val="11"/>
      <name val="Times New Roman"/>
      <family val="1"/>
      <charset val="1"/>
    </font>
    <font>
      <i/>
      <sz val="11"/>
      <name val="Times New Roman"/>
      <family val="1"/>
      <charset val="1"/>
    </font>
    <font>
      <b/>
      <sz val="16"/>
      <name val="Times New Roman"/>
      <family val="1"/>
      <charset val="1"/>
    </font>
    <font>
      <sz val="18"/>
      <name val="Century Gothic"/>
      <family val="2"/>
    </font>
    <font>
      <sz val="11"/>
      <color theme="1"/>
      <name val="Century Gothic"/>
      <family val="2"/>
    </font>
    <font>
      <sz val="16"/>
      <color theme="1"/>
      <name val="Century Gothic"/>
      <family val="2"/>
    </font>
    <font>
      <sz val="18"/>
      <color theme="1"/>
      <name val="Century Gothic"/>
      <family val="2"/>
    </font>
    <font>
      <b/>
      <sz val="18"/>
      <color theme="1"/>
      <name val="Century Gothic"/>
      <family val="2"/>
    </font>
    <font>
      <b/>
      <sz val="16"/>
      <color rgb="FFFFFF00"/>
      <name val="Century Gothic"/>
      <family val="2"/>
    </font>
    <font>
      <sz val="14"/>
      <color theme="1"/>
      <name val="Century Gothic"/>
      <family val="2"/>
    </font>
    <font>
      <b/>
      <sz val="18"/>
      <color theme="0"/>
      <name val="Century Gothic"/>
      <family val="2"/>
    </font>
    <font>
      <b/>
      <sz val="16"/>
      <color theme="1"/>
      <name val="Century Gothic"/>
      <family val="2"/>
    </font>
    <font>
      <b/>
      <sz val="18"/>
      <name val="Century Gothic"/>
      <family val="2"/>
    </font>
    <font>
      <sz val="22"/>
      <name val="Century Gothic"/>
      <family val="2"/>
    </font>
    <font>
      <sz val="22"/>
      <color theme="1"/>
      <name val="Century Gothic"/>
      <family val="2"/>
    </font>
    <font>
      <sz val="22"/>
      <color rgb="FFFF0000"/>
      <name val="Century Gothic"/>
      <family val="2"/>
    </font>
    <font>
      <b/>
      <sz val="22"/>
      <color theme="1"/>
      <name val="Century Gothic"/>
      <family val="2"/>
    </font>
    <font>
      <b/>
      <sz val="16"/>
      <color theme="0"/>
      <name val="Century Gothic"/>
      <family val="2"/>
    </font>
    <font>
      <b/>
      <sz val="28"/>
      <color theme="1"/>
      <name val="Century Gothic"/>
      <family val="2"/>
    </font>
    <font>
      <b/>
      <sz val="12"/>
      <color indexed="81"/>
      <name val="Tahoma"/>
      <family val="2"/>
    </font>
    <font>
      <sz val="12"/>
      <color indexed="81"/>
      <name val="Tahoma"/>
      <family val="2"/>
    </font>
    <font>
      <b/>
      <sz val="16"/>
      <color indexed="81"/>
      <name val="Tahoma"/>
      <family val="2"/>
    </font>
    <font>
      <b/>
      <sz val="14"/>
      <color indexed="81"/>
      <name val="Tahoma"/>
      <family val="2"/>
    </font>
    <font>
      <sz val="7"/>
      <color theme="1"/>
      <name val="Times New Roman"/>
      <family val="1"/>
    </font>
    <font>
      <b/>
      <i/>
      <sz val="11"/>
      <color theme="1"/>
      <name val="Times New Roman"/>
      <family val="1"/>
    </font>
    <font>
      <sz val="10"/>
      <color rgb="FFFF0000"/>
      <name val="Calibri"/>
      <family val="2"/>
      <scheme val="minor"/>
    </font>
  </fonts>
  <fills count="3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0"/>
        <bgColor indexed="22"/>
      </patternFill>
    </fill>
    <fill>
      <patternFill patternType="solid">
        <fgColor theme="4" tint="0.39997558519241921"/>
        <bgColor indexed="64"/>
      </patternFill>
    </fill>
    <fill>
      <patternFill patternType="solid">
        <fgColor rgb="FFFFFFFF"/>
        <bgColor rgb="FFEEECE1"/>
      </patternFill>
    </fill>
    <fill>
      <patternFill patternType="solid">
        <fgColor theme="0"/>
        <bgColor rgb="FFFFFF00"/>
      </patternFill>
    </fill>
    <fill>
      <patternFill patternType="solid">
        <fgColor rgb="FFD7E4BD"/>
        <bgColor rgb="FFD9D9D9"/>
      </patternFill>
    </fill>
    <fill>
      <patternFill patternType="solid">
        <fgColor theme="0"/>
        <bgColor rgb="FFEEECE1"/>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79998168889431442"/>
        <bgColor indexed="22"/>
      </patternFill>
    </fill>
    <fill>
      <patternFill patternType="solid">
        <fgColor rgb="FF00206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9" tint="0.59999389629810485"/>
        <bgColor rgb="FFD9D9D9"/>
      </patternFill>
    </fill>
    <fill>
      <patternFill patternType="solid">
        <fgColor rgb="FFFF0000"/>
        <bgColor indexed="64"/>
      </patternFill>
    </fill>
    <fill>
      <patternFill patternType="solid">
        <fgColor theme="6"/>
        <bgColor indexed="64"/>
      </patternFill>
    </fill>
    <fill>
      <patternFill patternType="solid">
        <fgColor indexed="11"/>
        <bgColor auto="1"/>
      </patternFill>
    </fill>
    <fill>
      <patternFill patternType="solid">
        <fgColor rgb="FFFFFF99"/>
        <bgColor indexed="64"/>
      </patternFill>
    </fill>
    <fill>
      <patternFill patternType="solid">
        <fgColor rgb="FFFFC000"/>
        <bgColor indexed="64"/>
      </patternFill>
    </fill>
    <fill>
      <patternFill patternType="solid">
        <fgColor theme="1"/>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59999389629810485"/>
        <bgColor indexed="64"/>
      </patternFill>
    </fill>
  </fills>
  <borders count="14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auto="1"/>
      </bottom>
      <diagonal/>
    </border>
    <border>
      <left/>
      <right/>
      <top style="thin">
        <color auto="1"/>
      </top>
      <bottom/>
      <diagonal/>
    </border>
    <border>
      <left style="medium">
        <color auto="1"/>
      </left>
      <right style="medium">
        <color auto="1"/>
      </right>
      <top style="thin">
        <color auto="1"/>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bottom/>
      <diagonal/>
    </border>
    <border>
      <left style="thin">
        <color indexed="64"/>
      </left>
      <right style="medium">
        <color indexed="64"/>
      </right>
      <top/>
      <bottom/>
      <diagonal/>
    </border>
    <border>
      <left/>
      <right style="medium">
        <color indexed="64"/>
      </right>
      <top style="thin">
        <color auto="1"/>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auto="1"/>
      </left>
      <right style="medium">
        <color auto="1"/>
      </right>
      <top style="thin">
        <color auto="1"/>
      </top>
      <bottom/>
      <diagonal/>
    </border>
    <border>
      <left/>
      <right style="medium">
        <color indexed="64"/>
      </right>
      <top style="thin">
        <color auto="1"/>
      </top>
      <bottom style="thin">
        <color auto="1"/>
      </bottom>
      <diagonal/>
    </border>
    <border>
      <left style="medium">
        <color auto="1"/>
      </left>
      <right/>
      <top style="thin">
        <color auto="1"/>
      </top>
      <bottom style="thin">
        <color auto="1"/>
      </bottom>
      <diagonal/>
    </border>
    <border>
      <left style="thin">
        <color auto="1"/>
      </left>
      <right style="thin">
        <color indexed="64"/>
      </right>
      <top style="medium">
        <color auto="1"/>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auto="1"/>
      </right>
      <top style="medium">
        <color auto="1"/>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style="thin">
        <color auto="1"/>
      </bottom>
      <diagonal/>
    </border>
    <border>
      <left style="medium">
        <color auto="1"/>
      </left>
      <right style="medium">
        <color auto="1"/>
      </right>
      <top/>
      <bottom style="thin">
        <color auto="1"/>
      </bottom>
      <diagonal/>
    </border>
    <border>
      <left/>
      <right style="thin">
        <color indexed="64"/>
      </right>
      <top style="thin">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medium">
        <color auto="1"/>
      </left>
      <right/>
      <top style="thin">
        <color auto="1"/>
      </top>
      <bottom/>
      <diagonal/>
    </border>
    <border>
      <left style="medium">
        <color auto="1"/>
      </left>
      <right/>
      <top/>
      <bottom style="thin">
        <color indexed="64"/>
      </bottom>
      <diagonal/>
    </border>
    <border>
      <left/>
      <right style="medium">
        <color indexed="64"/>
      </right>
      <top/>
      <bottom style="thin">
        <color indexed="64"/>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theme="0"/>
      </top>
      <bottom style="thin">
        <color theme="0"/>
      </bottom>
      <diagonal/>
    </border>
    <border>
      <left style="thick">
        <color theme="0"/>
      </left>
      <right style="thick">
        <color theme="0"/>
      </right>
      <top/>
      <bottom style="thick">
        <color theme="0"/>
      </bottom>
      <diagonal/>
    </border>
    <border>
      <left style="thick">
        <color theme="0"/>
      </left>
      <right style="thick">
        <color theme="0"/>
      </right>
      <top style="thick">
        <color theme="0"/>
      </top>
      <bottom style="thick">
        <color theme="0"/>
      </bottom>
      <diagonal/>
    </border>
    <border>
      <left style="thin">
        <color indexed="64"/>
      </left>
      <right style="thick">
        <color theme="0"/>
      </right>
      <top style="thick">
        <color theme="0"/>
      </top>
      <bottom style="thick">
        <color theme="0"/>
      </bottom>
      <diagonal/>
    </border>
    <border>
      <left/>
      <right style="thin">
        <color indexed="64"/>
      </right>
      <top style="thick">
        <color theme="0"/>
      </top>
      <bottom style="thin">
        <color theme="0"/>
      </bottom>
      <diagonal/>
    </border>
    <border>
      <left style="thin">
        <color auto="1"/>
      </left>
      <right style="thin">
        <color auto="1"/>
      </right>
      <top/>
      <bottom style="thin">
        <color auto="1"/>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thin">
        <color indexed="8"/>
      </bottom>
      <diagonal/>
    </border>
    <border>
      <left style="thin">
        <color indexed="64"/>
      </left>
      <right style="medium">
        <color indexed="64"/>
      </right>
      <top style="thin">
        <color indexed="64"/>
      </top>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auto="1"/>
      </left>
      <right style="thin">
        <color auto="1"/>
      </right>
      <top style="thin">
        <color auto="1"/>
      </top>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medium">
        <color auto="1"/>
      </left>
      <right style="medium">
        <color indexed="64"/>
      </right>
      <top style="thin">
        <color indexed="8"/>
      </top>
      <bottom/>
      <diagonal/>
    </border>
    <border>
      <left style="medium">
        <color auto="1"/>
      </left>
      <right style="medium">
        <color auto="1"/>
      </right>
      <top/>
      <bottom style="thin">
        <color indexed="8"/>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auto="1"/>
      </left>
      <right style="medium">
        <color auto="1"/>
      </right>
      <top/>
      <bottom style="thin">
        <color auto="1"/>
      </bottom>
      <diagonal/>
    </border>
    <border>
      <left/>
      <right style="medium">
        <color indexed="64"/>
      </right>
      <top style="thin">
        <color auto="1"/>
      </top>
      <bottom style="thin">
        <color auto="1"/>
      </bottom>
      <diagonal/>
    </border>
    <border>
      <left style="thin">
        <color indexed="10"/>
      </left>
      <right/>
      <top/>
      <bottom/>
      <diagonal/>
    </border>
    <border>
      <left style="thin">
        <color indexed="8"/>
      </left>
      <right/>
      <top/>
      <bottom style="thin">
        <color indexed="8"/>
      </bottom>
      <diagonal/>
    </border>
    <border>
      <left style="thin">
        <color indexed="64"/>
      </left>
      <right/>
      <top/>
      <bottom/>
      <diagonal/>
    </border>
    <border>
      <left style="medium">
        <color auto="1"/>
      </left>
      <right style="medium">
        <color auto="1"/>
      </right>
      <top/>
      <bottom style="thin">
        <color auto="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theme="0"/>
      </top>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rgb="FF000000"/>
      </right>
      <top style="medium">
        <color auto="1"/>
      </top>
      <bottom style="medium">
        <color auto="1"/>
      </bottom>
      <diagonal/>
    </border>
    <border>
      <left style="medium">
        <color indexed="64"/>
      </left>
      <right style="thin">
        <color indexed="8"/>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style="medium">
        <color indexed="64"/>
      </left>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auto="1"/>
      </top>
      <bottom style="thin">
        <color auto="1"/>
      </bottom>
      <diagonal/>
    </border>
  </borders>
  <cellStyleXfs count="12">
    <xf numFmtId="0" fontId="0" fillId="0" borderId="0"/>
    <xf numFmtId="0" fontId="15" fillId="0" borderId="0" applyNumberFormat="0" applyFill="0" applyBorder="0" applyAlignment="0" applyProtection="0">
      <alignment vertical="top"/>
      <protection locked="0"/>
    </xf>
    <xf numFmtId="0" fontId="24" fillId="6" borderId="0" applyNumberFormat="0" applyBorder="0" applyAlignment="0" applyProtection="0"/>
    <xf numFmtId="0" fontId="25" fillId="7" borderId="0" applyNumberFormat="0" applyBorder="0" applyAlignment="0" applyProtection="0"/>
    <xf numFmtId="0" fontId="26" fillId="8" borderId="0" applyNumberFormat="0" applyBorder="0" applyAlignment="0" applyProtection="0"/>
    <xf numFmtId="43" fontId="36" fillId="0" borderId="0" applyFont="0" applyFill="0" applyBorder="0" applyAlignment="0" applyProtection="0"/>
    <xf numFmtId="9" fontId="36" fillId="0" borderId="0" applyFont="0" applyFill="0" applyBorder="0" applyAlignment="0" applyProtection="0"/>
    <xf numFmtId="0" fontId="15" fillId="0" borderId="0" applyNumberFormat="0" applyFill="0" applyBorder="0" applyAlignment="0" applyProtection="0">
      <alignment vertical="top"/>
      <protection locked="0"/>
    </xf>
    <xf numFmtId="0" fontId="36" fillId="0" borderId="0"/>
    <xf numFmtId="0" fontId="40" fillId="0" borderId="0"/>
    <xf numFmtId="166" fontId="40" fillId="0" borderId="0" applyBorder="0" applyProtection="0"/>
    <xf numFmtId="164" fontId="36" fillId="0" borderId="0" applyFont="0" applyFill="0" applyBorder="0" applyAlignment="0" applyProtection="0"/>
  </cellStyleXfs>
  <cellXfs count="1527">
    <xf numFmtId="0" fontId="0" fillId="0" borderId="0" xfId="0"/>
    <xf numFmtId="0" fontId="16" fillId="0" borderId="0" xfId="0" applyFont="1" applyFill="1" applyProtection="1"/>
    <xf numFmtId="0" fontId="16"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1" fillId="0" borderId="0" xfId="0" applyFont="1" applyFill="1" applyBorder="1" applyProtection="1"/>
    <xf numFmtId="0" fontId="1" fillId="0" borderId="0" xfId="0" applyFont="1" applyFill="1" applyBorder="1" applyAlignment="1" applyProtection="1">
      <alignment vertical="top" wrapText="1"/>
    </xf>
    <xf numFmtId="1" fontId="1" fillId="2" borderId="2" xfId="0" applyNumberFormat="1" applyFont="1" applyFill="1" applyBorder="1" applyAlignment="1" applyProtection="1">
      <alignment horizontal="left"/>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165" fontId="1" fillId="2" borderId="3" xfId="0" applyNumberFormat="1" applyFont="1" applyFill="1" applyBorder="1" applyAlignment="1" applyProtection="1">
      <alignment horizontal="left"/>
      <protection locked="0"/>
    </xf>
    <xf numFmtId="0" fontId="16" fillId="0" borderId="0" xfId="0" applyFont="1" applyAlignment="1">
      <alignment horizontal="left" vertical="center"/>
    </xf>
    <xf numFmtId="0" fontId="16" fillId="0" borderId="0" xfId="0" applyFont="1"/>
    <xf numFmtId="0" fontId="16" fillId="0" borderId="0" xfId="0" applyFont="1" applyFill="1"/>
    <xf numFmtId="0" fontId="2" fillId="0" borderId="0" xfId="0" applyFont="1" applyFill="1" applyBorder="1" applyAlignment="1" applyProtection="1">
      <alignment vertical="top" wrapText="1"/>
    </xf>
    <xf numFmtId="0" fontId="16"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16" fillId="0" borderId="0" xfId="0" applyFont="1" applyAlignment="1"/>
    <xf numFmtId="0" fontId="1" fillId="2" borderId="5" xfId="0" applyFont="1" applyFill="1" applyBorder="1" applyAlignment="1" applyProtection="1">
      <alignment vertical="top" wrapText="1"/>
    </xf>
    <xf numFmtId="0" fontId="1" fillId="3" borderId="14"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1" fillId="3" borderId="0"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6" xfId="0" applyFont="1" applyFill="1" applyBorder="1" applyAlignment="1" applyProtection="1">
      <alignment vertical="top" wrapText="1"/>
    </xf>
    <xf numFmtId="0" fontId="1" fillId="3" borderId="17" xfId="0" applyFont="1" applyFill="1" applyBorder="1" applyProtection="1"/>
    <xf numFmtId="0" fontId="10" fillId="3" borderId="14" xfId="0" applyFont="1" applyFill="1" applyBorder="1" applyAlignment="1" applyProtection="1">
      <alignment vertical="top" wrapText="1"/>
    </xf>
    <xf numFmtId="0" fontId="10" fillId="3" borderId="13" xfId="0" applyFont="1" applyFill="1" applyBorder="1" applyAlignment="1" applyProtection="1">
      <alignment vertical="top" wrapText="1"/>
    </xf>
    <xf numFmtId="0" fontId="10" fillId="3" borderId="0" xfId="0" applyFont="1" applyFill="1" applyBorder="1" applyProtection="1"/>
    <xf numFmtId="0" fontId="10" fillId="3" borderId="0" xfId="0" applyFont="1" applyFill="1" applyBorder="1" applyAlignment="1" applyProtection="1">
      <alignment vertical="top" wrapText="1"/>
    </xf>
    <xf numFmtId="0" fontId="11" fillId="3" borderId="0" xfId="0" applyFont="1" applyFill="1" applyBorder="1" applyAlignment="1" applyProtection="1">
      <alignment vertical="top" wrapText="1"/>
    </xf>
    <xf numFmtId="0" fontId="10" fillId="3" borderId="15" xfId="0" applyFont="1" applyFill="1" applyBorder="1" applyAlignment="1" applyProtection="1">
      <alignment vertical="top" wrapText="1"/>
    </xf>
    <xf numFmtId="0" fontId="10" fillId="3" borderId="16" xfId="0" applyFont="1" applyFill="1" applyBorder="1" applyAlignment="1" applyProtection="1">
      <alignment vertical="top" wrapText="1"/>
    </xf>
    <xf numFmtId="0" fontId="10" fillId="3" borderId="17" xfId="0" applyFont="1" applyFill="1" applyBorder="1" applyAlignment="1" applyProtection="1">
      <alignment vertical="top" wrapText="1"/>
    </xf>
    <xf numFmtId="0" fontId="16" fillId="3" borderId="10" xfId="0" applyFont="1" applyFill="1" applyBorder="1" applyAlignment="1">
      <alignment horizontal="left" vertical="center"/>
    </xf>
    <xf numFmtId="0" fontId="16" fillId="3" borderId="11" xfId="0" applyFont="1" applyFill="1" applyBorder="1" applyAlignment="1">
      <alignment horizontal="left" vertical="center"/>
    </xf>
    <xf numFmtId="0" fontId="16" fillId="3" borderId="11" xfId="0" applyFont="1" applyFill="1" applyBorder="1"/>
    <xf numFmtId="0" fontId="16" fillId="3" borderId="12" xfId="0" applyFont="1" applyFill="1" applyBorder="1"/>
    <xf numFmtId="0" fontId="16" fillId="3" borderId="13" xfId="0" applyFont="1" applyFill="1" applyBorder="1" applyAlignment="1">
      <alignment horizontal="left" vertical="center"/>
    </xf>
    <xf numFmtId="0" fontId="1" fillId="3" borderId="14" xfId="0" applyFont="1" applyFill="1" applyBorder="1" applyAlignment="1" applyProtection="1">
      <alignment vertical="top" wrapText="1"/>
    </xf>
    <xf numFmtId="0" fontId="1" fillId="3" borderId="13" xfId="0" applyFont="1" applyFill="1" applyBorder="1" applyAlignment="1" applyProtection="1">
      <alignment horizontal="left" vertical="center" wrapText="1"/>
    </xf>
    <xf numFmtId="0" fontId="1" fillId="3" borderId="0" xfId="0" applyFont="1" applyFill="1" applyBorder="1" applyAlignment="1" applyProtection="1">
      <alignment vertical="top" wrapText="1"/>
    </xf>
    <xf numFmtId="0" fontId="1" fillId="3" borderId="15" xfId="0" applyFont="1" applyFill="1" applyBorder="1" applyAlignment="1" applyProtection="1">
      <alignment horizontal="left" vertical="center" wrapText="1"/>
    </xf>
    <xf numFmtId="0" fontId="2" fillId="3" borderId="16" xfId="0" applyFont="1" applyFill="1" applyBorder="1" applyAlignment="1" applyProtection="1">
      <alignment vertical="top" wrapText="1"/>
    </xf>
    <xf numFmtId="0" fontId="1" fillId="3" borderId="17" xfId="0" applyFont="1" applyFill="1" applyBorder="1" applyAlignment="1" applyProtection="1">
      <alignment vertical="top" wrapText="1"/>
    </xf>
    <xf numFmtId="0" fontId="16" fillId="3" borderId="11" xfId="0" applyFont="1" applyFill="1" applyBorder="1" applyProtection="1"/>
    <xf numFmtId="0" fontId="16" fillId="3" borderId="12" xfId="0" applyFont="1" applyFill="1" applyBorder="1" applyProtection="1"/>
    <xf numFmtId="0" fontId="16" fillId="3" borderId="0" xfId="0" applyFont="1" applyFill="1" applyBorder="1" applyProtection="1"/>
    <xf numFmtId="0" fontId="16" fillId="3" borderId="14"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14"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16" xfId="0" applyFont="1" applyFill="1" applyBorder="1" applyProtection="1"/>
    <xf numFmtId="0" fontId="18" fillId="0" borderId="1" xfId="0" applyFont="1" applyBorder="1" applyAlignment="1">
      <alignment horizontal="center" readingOrder="1"/>
    </xf>
    <xf numFmtId="0" fontId="0" fillId="3" borderId="11" xfId="0" applyFill="1" applyBorder="1"/>
    <xf numFmtId="0" fontId="0" fillId="3" borderId="12" xfId="0" applyFill="1" applyBorder="1"/>
    <xf numFmtId="0" fontId="0" fillId="3" borderId="13" xfId="0" applyFill="1" applyBorder="1"/>
    <xf numFmtId="0" fontId="0" fillId="3" borderId="0" xfId="0" applyFill="1" applyBorder="1"/>
    <xf numFmtId="0" fontId="0" fillId="3" borderId="14" xfId="0" applyFill="1" applyBorder="1"/>
    <xf numFmtId="0" fontId="19" fillId="3" borderId="10" xfId="0" applyFont="1" applyFill="1" applyBorder="1" applyAlignment="1">
      <alignment vertical="center"/>
    </xf>
    <xf numFmtId="0" fontId="19" fillId="3" borderId="13" xfId="0" applyFont="1" applyFill="1" applyBorder="1" applyAlignment="1">
      <alignment vertical="center"/>
    </xf>
    <xf numFmtId="0" fontId="19" fillId="3" borderId="0" xfId="0" applyFont="1" applyFill="1" applyBorder="1" applyAlignment="1">
      <alignment vertical="center"/>
    </xf>
    <xf numFmtId="0" fontId="2" fillId="2" borderId="1" xfId="0" applyFont="1" applyFill="1" applyBorder="1" applyAlignment="1" applyProtection="1">
      <alignment horizontal="center" vertical="center" wrapText="1"/>
    </xf>
    <xf numFmtId="0" fontId="16" fillId="3" borderId="10" xfId="0" applyFont="1" applyFill="1" applyBorder="1"/>
    <xf numFmtId="0" fontId="16" fillId="3" borderId="13" xfId="0" applyFont="1" applyFill="1" applyBorder="1"/>
    <xf numFmtId="0" fontId="16" fillId="0" borderId="0" xfId="0" applyFont="1" applyFill="1" applyAlignment="1" applyProtection="1">
      <alignment horizontal="right"/>
    </xf>
    <xf numFmtId="0" fontId="16" fillId="3" borderId="10" xfId="0" applyFont="1" applyFill="1" applyBorder="1" applyAlignment="1" applyProtection="1">
      <alignment horizontal="right"/>
    </xf>
    <xf numFmtId="0" fontId="16" fillId="3" borderId="11" xfId="0" applyFont="1" applyFill="1" applyBorder="1" applyAlignment="1" applyProtection="1">
      <alignment horizontal="right"/>
    </xf>
    <xf numFmtId="0" fontId="16" fillId="3" borderId="13" xfId="0" applyFont="1" applyFill="1" applyBorder="1" applyAlignment="1" applyProtection="1">
      <alignment horizontal="right"/>
    </xf>
    <xf numFmtId="0" fontId="16" fillId="3" borderId="0" xfId="0" applyFont="1" applyFill="1" applyBorder="1" applyAlignment="1" applyProtection="1">
      <alignment horizontal="right"/>
    </xf>
    <xf numFmtId="0" fontId="1" fillId="3" borderId="13" xfId="0" applyFont="1" applyFill="1" applyBorder="1" applyAlignment="1" applyProtection="1">
      <alignment horizontal="right"/>
    </xf>
    <xf numFmtId="0" fontId="1" fillId="3" borderId="13" xfId="0" applyFont="1" applyFill="1" applyBorder="1" applyAlignment="1" applyProtection="1">
      <alignment horizontal="right" vertical="top" wrapText="1"/>
    </xf>
    <xf numFmtId="0" fontId="21"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15" xfId="0" applyFont="1" applyFill="1" applyBorder="1" applyAlignment="1" applyProtection="1">
      <alignment horizontal="right"/>
    </xf>
    <xf numFmtId="0" fontId="1" fillId="3" borderId="16" xfId="0" applyFont="1" applyFill="1" applyBorder="1" applyAlignment="1" applyProtection="1">
      <alignment horizontal="right"/>
    </xf>
    <xf numFmtId="0" fontId="1" fillId="2" borderId="9" xfId="0" applyFont="1" applyFill="1" applyBorder="1" applyAlignment="1" applyProtection="1">
      <alignment vertical="top" wrapText="1"/>
    </xf>
    <xf numFmtId="0" fontId="2" fillId="2" borderId="21" xfId="0" applyFont="1" applyFill="1" applyBorder="1" applyAlignment="1" applyProtection="1">
      <alignment horizontal="right" vertical="center" wrapText="1"/>
    </xf>
    <xf numFmtId="0" fontId="2" fillId="2" borderId="9" xfId="0" applyFont="1" applyFill="1" applyBorder="1" applyAlignment="1" applyProtection="1">
      <alignment horizontal="center" vertical="center" wrapText="1"/>
    </xf>
    <xf numFmtId="0" fontId="1" fillId="3" borderId="0" xfId="0" applyFont="1" applyFill="1" applyBorder="1" applyAlignment="1" applyProtection="1">
      <alignment horizontal="left" vertical="top" wrapText="1"/>
    </xf>
    <xf numFmtId="0" fontId="11" fillId="3" borderId="14" xfId="0" applyFont="1" applyFill="1" applyBorder="1" applyAlignment="1">
      <alignment horizontal="center"/>
    </xf>
    <xf numFmtId="0" fontId="21" fillId="3" borderId="1" xfId="0" applyFont="1" applyFill="1" applyBorder="1" applyAlignment="1">
      <alignment horizontal="center" vertical="center" wrapText="1"/>
    </xf>
    <xf numFmtId="0" fontId="0" fillId="0" borderId="0" xfId="0" applyProtection="1"/>
    <xf numFmtId="0" fontId="0" fillId="9" borderId="1" xfId="0" applyFill="1" applyBorder="1" applyProtection="1">
      <protection locked="0"/>
    </xf>
    <xf numFmtId="0" fontId="0" fillId="0" borderId="9" xfId="0" applyBorder="1" applyProtection="1"/>
    <xf numFmtId="0" fontId="29" fillId="11" borderId="5" xfId="0" applyFont="1" applyFill="1" applyBorder="1" applyAlignment="1" applyProtection="1">
      <alignment horizontal="left" vertical="center" wrapText="1"/>
    </xf>
    <xf numFmtId="0" fontId="30" fillId="0" borderId="6" xfId="0" applyFont="1" applyBorder="1" applyAlignment="1" applyProtection="1">
      <alignment horizontal="left" vertical="center"/>
    </xf>
    <xf numFmtId="0" fontId="30" fillId="0" borderId="32" xfId="0" applyFont="1" applyBorder="1" applyAlignment="1" applyProtection="1">
      <alignment horizontal="left" vertical="center"/>
    </xf>
    <xf numFmtId="0" fontId="0" fillId="0" borderId="0" xfId="0" applyAlignment="1" applyProtection="1">
      <alignment horizontal="left"/>
    </xf>
    <xf numFmtId="0" fontId="0" fillId="0" borderId="0" xfId="0" applyProtection="1">
      <protection locked="0"/>
    </xf>
    <xf numFmtId="0" fontId="0" fillId="0" borderId="0" xfId="0" applyBorder="1" applyAlignment="1" applyProtection="1">
      <alignment wrapText="1"/>
    </xf>
    <xf numFmtId="0" fontId="0" fillId="0" borderId="0" xfId="0" applyBorder="1" applyProtection="1"/>
    <xf numFmtId="0" fontId="29" fillId="11" borderId="5" xfId="0" applyFont="1" applyFill="1" applyBorder="1" applyAlignment="1" applyProtection="1">
      <alignment horizontal="center" vertical="center"/>
    </xf>
    <xf numFmtId="0" fontId="0" fillId="0" borderId="0" xfId="0" applyBorder="1" applyAlignment="1" applyProtection="1">
      <alignment horizontal="left" wrapText="1"/>
    </xf>
    <xf numFmtId="0" fontId="0" fillId="0" borderId="0" xfId="0" applyBorder="1" applyAlignment="1" applyProtection="1">
      <alignment horizontal="left" vertical="center" wrapText="1"/>
    </xf>
    <xf numFmtId="0" fontId="29" fillId="11" borderId="6" xfId="0" applyFont="1" applyFill="1" applyBorder="1" applyAlignment="1" applyProtection="1">
      <alignment horizontal="center" vertical="center" wrapText="1"/>
    </xf>
    <xf numFmtId="0" fontId="26" fillId="8" borderId="0" xfId="4" applyProtection="1"/>
    <xf numFmtId="0" fontId="24" fillId="6" borderId="0" xfId="2" applyProtection="1"/>
    <xf numFmtId="0" fontId="25" fillId="7" borderId="0" xfId="3" applyProtection="1"/>
    <xf numFmtId="0" fontId="0" fillId="0" borderId="0" xfId="0" applyAlignment="1" applyProtection="1">
      <alignment wrapText="1"/>
    </xf>
    <xf numFmtId="0" fontId="17" fillId="3" borderId="11" xfId="0" applyFont="1" applyFill="1" applyBorder="1" applyAlignment="1">
      <alignment vertical="top" wrapText="1"/>
    </xf>
    <xf numFmtId="0" fontId="17" fillId="3" borderId="12" xfId="0" applyFont="1" applyFill="1" applyBorder="1" applyAlignment="1">
      <alignment vertical="top" wrapText="1"/>
    </xf>
    <xf numFmtId="0" fontId="15" fillId="3" borderId="16" xfId="1" applyFill="1" applyBorder="1" applyAlignment="1" applyProtection="1">
      <alignment vertical="top" wrapText="1"/>
    </xf>
    <xf numFmtId="0" fontId="15" fillId="3" borderId="17" xfId="1" applyFill="1" applyBorder="1" applyAlignment="1" applyProtection="1">
      <alignment vertical="top" wrapText="1"/>
    </xf>
    <xf numFmtId="0" fontId="0" fillId="10" borderId="1" xfId="0" applyFill="1" applyBorder="1" applyProtection="1"/>
    <xf numFmtId="0" fontId="0" fillId="0" borderId="0" xfId="0" applyAlignment="1">
      <alignment vertical="center" wrapText="1"/>
    </xf>
    <xf numFmtId="0" fontId="1" fillId="2" borderId="1" xfId="0" quotePrefix="1" applyFont="1" applyFill="1" applyBorder="1" applyAlignment="1" applyProtection="1">
      <alignment vertical="top" wrapText="1"/>
      <protection locked="0"/>
    </xf>
    <xf numFmtId="0" fontId="10" fillId="2" borderId="2" xfId="0" applyFont="1" applyFill="1" applyBorder="1" applyProtection="1">
      <protection locked="0"/>
    </xf>
    <xf numFmtId="43" fontId="2" fillId="3" borderId="1" xfId="5" applyFont="1" applyFill="1" applyBorder="1" applyAlignment="1" applyProtection="1">
      <alignment vertical="top" wrapText="1"/>
    </xf>
    <xf numFmtId="0" fontId="2" fillId="2" borderId="12" xfId="0" applyFont="1" applyFill="1" applyBorder="1" applyAlignment="1" applyProtection="1">
      <alignment horizontal="center" vertical="center" wrapText="1"/>
    </xf>
    <xf numFmtId="0" fontId="10" fillId="3" borderId="0" xfId="0" applyFont="1" applyFill="1" applyBorder="1" applyAlignment="1" applyProtection="1">
      <alignment horizontal="left" vertical="center"/>
    </xf>
    <xf numFmtId="0" fontId="10" fillId="3" borderId="0" xfId="0" applyFont="1" applyFill="1" applyBorder="1" applyAlignment="1" applyProtection="1">
      <alignment horizontal="left" vertical="center" wrapText="1"/>
    </xf>
    <xf numFmtId="43" fontId="11" fillId="2" borderId="0" xfId="5" applyNumberFormat="1" applyFont="1" applyFill="1" applyBorder="1" applyAlignment="1" applyProtection="1">
      <alignment vertical="top" wrapText="1"/>
    </xf>
    <xf numFmtId="9" fontId="41" fillId="14" borderId="0" xfId="6" applyNumberFormat="1" applyFont="1" applyFill="1" applyAlignment="1">
      <alignment vertical="center"/>
    </xf>
    <xf numFmtId="9" fontId="41" fillId="14" borderId="0" xfId="6" applyFont="1" applyFill="1" applyAlignment="1">
      <alignment vertical="center"/>
    </xf>
    <xf numFmtId="0" fontId="11" fillId="2" borderId="23" xfId="0" applyFont="1" applyFill="1" applyBorder="1" applyAlignment="1" applyProtection="1">
      <alignment horizontal="center" vertical="center" wrapText="1"/>
    </xf>
    <xf numFmtId="0" fontId="11" fillId="2" borderId="24" xfId="0" applyFont="1" applyFill="1" applyBorder="1" applyAlignment="1" applyProtection="1">
      <alignment horizontal="center" vertical="center" wrapText="1"/>
    </xf>
    <xf numFmtId="0" fontId="11" fillId="2" borderId="21" xfId="0" applyFont="1" applyFill="1" applyBorder="1" applyAlignment="1" applyProtection="1">
      <alignment horizontal="right" vertical="center" wrapText="1"/>
    </xf>
    <xf numFmtId="43" fontId="11" fillId="2" borderId="9" xfId="5" applyNumberFormat="1" applyFont="1" applyFill="1" applyBorder="1" applyAlignment="1" applyProtection="1">
      <alignment vertical="top" wrapText="1"/>
    </xf>
    <xf numFmtId="43" fontId="21" fillId="0" borderId="0" xfId="0" applyNumberFormat="1" applyFont="1" applyAlignment="1">
      <alignment horizontal="left" vertical="center"/>
    </xf>
    <xf numFmtId="43" fontId="1" fillId="0" borderId="0" xfId="0" applyNumberFormat="1" applyFont="1" applyFill="1" applyBorder="1" applyAlignment="1" applyProtection="1">
      <alignment vertical="top" wrapText="1"/>
    </xf>
    <xf numFmtId="43" fontId="16" fillId="0" borderId="0" xfId="0" applyNumberFormat="1" applyFont="1"/>
    <xf numFmtId="166" fontId="40" fillId="0" borderId="0" xfId="0" applyNumberFormat="1" applyFont="1" applyFill="1" applyAlignment="1"/>
    <xf numFmtId="9" fontId="40" fillId="0" borderId="0" xfId="0" applyNumberFormat="1" applyFont="1" applyFill="1" applyAlignment="1"/>
    <xf numFmtId="43" fontId="16" fillId="0" borderId="0" xfId="5" applyNumberFormat="1" applyFont="1"/>
    <xf numFmtId="43" fontId="2" fillId="0" borderId="0" xfId="0" applyNumberFormat="1" applyFont="1" applyFill="1" applyBorder="1" applyAlignment="1" applyProtection="1">
      <alignment vertical="top" wrapText="1"/>
    </xf>
    <xf numFmtId="0" fontId="11" fillId="3" borderId="0" xfId="0" applyFont="1" applyFill="1" applyBorder="1" applyAlignment="1" applyProtection="1">
      <alignment horizontal="center" vertical="center" wrapText="1"/>
    </xf>
    <xf numFmtId="43" fontId="1" fillId="2" borderId="5" xfId="5" applyFont="1" applyFill="1" applyBorder="1" applyAlignment="1" applyProtection="1">
      <alignment vertical="top" wrapText="1"/>
    </xf>
    <xf numFmtId="43" fontId="1" fillId="2" borderId="9" xfId="5" applyFont="1" applyFill="1" applyBorder="1" applyAlignment="1" applyProtection="1">
      <alignment vertical="top" wrapText="1"/>
    </xf>
    <xf numFmtId="43" fontId="16" fillId="2" borderId="0" xfId="5" applyFont="1" applyFill="1"/>
    <xf numFmtId="43" fontId="16" fillId="2" borderId="0" xfId="5" applyFont="1" applyFill="1" applyBorder="1"/>
    <xf numFmtId="43" fontId="1" fillId="2" borderId="0" xfId="5" applyFont="1" applyFill="1" applyBorder="1" applyAlignment="1" applyProtection="1">
      <alignment vertical="top" wrapText="1"/>
    </xf>
    <xf numFmtId="43" fontId="16" fillId="2" borderId="0" xfId="5" applyFont="1" applyFill="1" applyAlignment="1">
      <alignment wrapText="1"/>
    </xf>
    <xf numFmtId="43" fontId="43" fillId="3" borderId="0" xfId="0" applyNumberFormat="1" applyFont="1" applyFill="1" applyBorder="1" applyAlignment="1" applyProtection="1">
      <alignment vertical="top" wrapText="1"/>
    </xf>
    <xf numFmtId="43" fontId="1" fillId="2" borderId="22" xfId="5" applyFont="1" applyFill="1" applyBorder="1" applyAlignment="1" applyProtection="1">
      <alignment vertical="top" wrapText="1"/>
    </xf>
    <xf numFmtId="17" fontId="10" fillId="2" borderId="3" xfId="0" quotePrefix="1" applyNumberFormat="1" applyFont="1" applyFill="1" applyBorder="1" applyAlignment="1" applyProtection="1">
      <alignment horizontal="center" vertical="center"/>
    </xf>
    <xf numFmtId="0" fontId="16" fillId="0" borderId="0" xfId="0" applyFont="1" applyAlignment="1">
      <alignment vertical="center"/>
    </xf>
    <xf numFmtId="3" fontId="1" fillId="3" borderId="0" xfId="0" applyNumberFormat="1" applyFont="1" applyFill="1" applyBorder="1" applyAlignment="1" applyProtection="1">
      <alignment vertical="top" wrapText="1"/>
    </xf>
    <xf numFmtId="43" fontId="1" fillId="3" borderId="0" xfId="0" applyNumberFormat="1" applyFont="1" applyFill="1" applyBorder="1" applyAlignment="1" applyProtection="1">
      <alignment vertical="top" wrapText="1"/>
    </xf>
    <xf numFmtId="0" fontId="10" fillId="0" borderId="0" xfId="0" applyFont="1"/>
    <xf numFmtId="0" fontId="10" fillId="3" borderId="0" xfId="0" applyFont="1" applyFill="1" applyBorder="1" applyAlignment="1" applyProtection="1">
      <alignment horizontal="left" vertical="top" wrapText="1"/>
    </xf>
    <xf numFmtId="0" fontId="2" fillId="2" borderId="21" xfId="0" applyFont="1" applyFill="1" applyBorder="1" applyAlignment="1" applyProtection="1">
      <alignment horizontal="center" vertical="center" wrapText="1"/>
    </xf>
    <xf numFmtId="0" fontId="2" fillId="2" borderId="2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43" fontId="16" fillId="0" borderId="0" xfId="0" applyNumberFormat="1" applyFont="1" applyAlignment="1">
      <alignment horizontal="left" vertical="center"/>
    </xf>
    <xf numFmtId="0" fontId="16" fillId="0" borderId="0" xfId="0" applyFont="1" applyAlignment="1">
      <alignment horizontal="center" vertical="center"/>
    </xf>
    <xf numFmtId="0" fontId="16" fillId="0" borderId="0" xfId="0" applyFont="1" applyAlignment="1">
      <alignment horizontal="center"/>
    </xf>
    <xf numFmtId="43" fontId="40" fillId="0" borderId="0" xfId="5" applyFont="1"/>
    <xf numFmtId="166" fontId="40" fillId="0" borderId="0" xfId="5" applyNumberFormat="1" applyFont="1"/>
    <xf numFmtId="0" fontId="16" fillId="0" borderId="0" xfId="0" applyFont="1" applyFill="1" applyBorder="1"/>
    <xf numFmtId="0" fontId="7" fillId="0" borderId="0" xfId="0" applyFont="1" applyFill="1" applyBorder="1" applyAlignment="1" applyProtection="1">
      <alignment vertical="top" wrapText="1"/>
    </xf>
    <xf numFmtId="0" fontId="16" fillId="3" borderId="11" xfId="0" applyFont="1" applyFill="1" applyBorder="1" applyAlignment="1"/>
    <xf numFmtId="0" fontId="16" fillId="3" borderId="0" xfId="0" applyFont="1" applyFill="1" applyBorder="1" applyAlignment="1"/>
    <xf numFmtId="0" fontId="16" fillId="2" borderId="1" xfId="0" applyFont="1" applyFill="1" applyBorder="1" applyAlignment="1">
      <alignment horizontal="center" vertical="center"/>
    </xf>
    <xf numFmtId="0" fontId="16" fillId="2" borderId="1" xfId="0" applyFont="1" applyFill="1" applyBorder="1" applyAlignment="1"/>
    <xf numFmtId="0" fontId="16" fillId="3" borderId="0" xfId="0" applyFont="1" applyFill="1" applyAlignment="1">
      <alignment horizontal="left" vertical="center"/>
    </xf>
    <xf numFmtId="0" fontId="16" fillId="3" borderId="16" xfId="0" applyFont="1" applyFill="1" applyBorder="1" applyAlignment="1"/>
    <xf numFmtId="0" fontId="16" fillId="3" borderId="9" xfId="0" applyFont="1" applyFill="1" applyBorder="1" applyAlignment="1" applyProtection="1">
      <alignment vertical="top" wrapText="1"/>
    </xf>
    <xf numFmtId="0" fontId="16" fillId="17" borderId="10" xfId="0" applyFont="1" applyFill="1" applyBorder="1"/>
    <xf numFmtId="0" fontId="16" fillId="17" borderId="11" xfId="0" applyFont="1" applyFill="1" applyBorder="1"/>
    <xf numFmtId="0" fontId="16" fillId="17" borderId="12" xfId="0" applyFont="1" applyFill="1" applyBorder="1"/>
    <xf numFmtId="0" fontId="16" fillId="17" borderId="13" xfId="0" applyFont="1" applyFill="1" applyBorder="1"/>
    <xf numFmtId="0" fontId="16" fillId="17" borderId="15" xfId="0" applyFont="1" applyFill="1" applyBorder="1" applyAlignment="1" applyProtection="1">
      <alignment vertical="top" wrapText="1"/>
    </xf>
    <xf numFmtId="0" fontId="16" fillId="17" borderId="16" xfId="0" applyFont="1" applyFill="1" applyBorder="1" applyAlignment="1" applyProtection="1">
      <alignment vertical="top" wrapText="1"/>
    </xf>
    <xf numFmtId="0" fontId="16" fillId="17" borderId="17" xfId="0" applyFont="1" applyFill="1" applyBorder="1" applyAlignment="1" applyProtection="1">
      <alignment vertical="top" wrapText="1"/>
    </xf>
    <xf numFmtId="0" fontId="16" fillId="3" borderId="10" xfId="0" applyFont="1" applyFill="1" applyBorder="1" applyProtection="1"/>
    <xf numFmtId="0" fontId="16" fillId="3" borderId="11" xfId="0" applyFont="1" applyFill="1" applyBorder="1" applyAlignment="1" applyProtection="1">
      <alignment horizontal="left" vertical="center"/>
    </xf>
    <xf numFmtId="0" fontId="21" fillId="3" borderId="14" xfId="0" applyFont="1" applyFill="1" applyBorder="1" applyAlignment="1" applyProtection="1"/>
    <xf numFmtId="0" fontId="16" fillId="3" borderId="13" xfId="0" applyFont="1" applyFill="1" applyBorder="1" applyProtection="1"/>
    <xf numFmtId="0" fontId="16" fillId="3" borderId="0" xfId="0" applyFont="1" applyFill="1" applyBorder="1" applyAlignment="1" applyProtection="1">
      <alignment horizontal="left" vertical="center"/>
    </xf>
    <xf numFmtId="0" fontId="21" fillId="3" borderId="0" xfId="0" applyFont="1" applyFill="1" applyBorder="1" applyAlignment="1" applyProtection="1">
      <alignment horizontal="center" vertical="center" wrapText="1"/>
    </xf>
    <xf numFmtId="0" fontId="16" fillId="3" borderId="13" xfId="0" applyFont="1" applyFill="1" applyBorder="1" applyAlignment="1" applyProtection="1">
      <alignment horizontal="left" vertical="center"/>
    </xf>
    <xf numFmtId="0" fontId="21" fillId="3" borderId="14" xfId="0" applyFont="1" applyFill="1" applyBorder="1" applyAlignment="1" applyProtection="1">
      <alignment horizontal="left" vertical="center" wrapText="1"/>
    </xf>
    <xf numFmtId="0" fontId="16" fillId="16" borderId="1" xfId="0" applyFont="1" applyFill="1" applyBorder="1" applyAlignment="1" applyProtection="1">
      <alignment horizontal="center" vertical="center" wrapText="1"/>
    </xf>
    <xf numFmtId="0" fontId="16" fillId="3" borderId="14" xfId="0" applyFont="1" applyFill="1" applyBorder="1" applyAlignment="1" applyProtection="1">
      <alignment horizontal="left" vertical="center"/>
    </xf>
    <xf numFmtId="0" fontId="21" fillId="3" borderId="0" xfId="0" applyFont="1" applyFill="1" applyBorder="1" applyAlignment="1" applyProtection="1">
      <alignment horizontal="left" vertical="center" wrapText="1"/>
    </xf>
    <xf numFmtId="0" fontId="16" fillId="3" borderId="0" xfId="0" applyFont="1" applyFill="1" applyBorder="1" applyAlignment="1" applyProtection="1">
      <alignment horizontal="left" vertical="center" wrapText="1"/>
    </xf>
    <xf numFmtId="0" fontId="16" fillId="2" borderId="1" xfId="0" applyFont="1" applyFill="1" applyBorder="1" applyAlignment="1" applyProtection="1">
      <alignment horizontal="center" vertical="center"/>
    </xf>
    <xf numFmtId="0" fontId="16" fillId="3" borderId="13" xfId="0" applyFont="1" applyFill="1" applyBorder="1" applyAlignment="1" applyProtection="1">
      <alignment vertical="center"/>
    </xf>
    <xf numFmtId="0" fontId="22" fillId="3" borderId="0" xfId="0" applyFont="1" applyFill="1" applyBorder="1" applyAlignment="1" applyProtection="1">
      <alignment vertical="center" wrapText="1"/>
    </xf>
    <xf numFmtId="0" fontId="16" fillId="3" borderId="14" xfId="0" applyFont="1" applyFill="1" applyBorder="1" applyAlignment="1" applyProtection="1">
      <alignment vertical="center"/>
    </xf>
    <xf numFmtId="0" fontId="16" fillId="5" borderId="1" xfId="0" applyFont="1" applyFill="1" applyBorder="1" applyAlignment="1" applyProtection="1">
      <alignment horizontal="left" vertical="center"/>
    </xf>
    <xf numFmtId="0" fontId="16" fillId="3" borderId="0" xfId="0" applyFont="1" applyFill="1" applyBorder="1" applyAlignment="1" applyProtection="1">
      <alignment vertical="top" wrapText="1"/>
    </xf>
    <xf numFmtId="0" fontId="16" fillId="3" borderId="15" xfId="0" applyFont="1" applyFill="1" applyBorder="1" applyProtection="1"/>
    <xf numFmtId="0" fontId="16" fillId="3" borderId="16" xfId="0" applyFont="1" applyFill="1" applyBorder="1" applyAlignment="1" applyProtection="1">
      <alignment horizontal="left" vertical="center" wrapText="1"/>
    </xf>
    <xf numFmtId="0" fontId="16" fillId="3" borderId="16" xfId="0" applyFont="1" applyFill="1" applyBorder="1" applyAlignment="1" applyProtection="1">
      <alignment vertical="top" wrapText="1"/>
    </xf>
    <xf numFmtId="0" fontId="16" fillId="3" borderId="17" xfId="0" applyFont="1" applyFill="1" applyBorder="1" applyProtection="1"/>
    <xf numFmtId="0" fontId="16" fillId="17" borderId="7" xfId="0" applyFont="1" applyFill="1" applyBorder="1" applyAlignment="1" applyProtection="1">
      <alignment horizontal="left" vertical="center" wrapText="1"/>
    </xf>
    <xf numFmtId="0" fontId="16" fillId="0" borderId="0" xfId="0" applyFont="1" applyAlignment="1">
      <alignment vertical="top"/>
    </xf>
    <xf numFmtId="0" fontId="16" fillId="17" borderId="19" xfId="0" applyFont="1" applyFill="1" applyBorder="1" applyAlignment="1" applyProtection="1">
      <alignment horizontal="left" vertical="center" wrapText="1"/>
    </xf>
    <xf numFmtId="0" fontId="16" fillId="3" borderId="15" xfId="0" applyFont="1" applyFill="1" applyBorder="1" applyAlignment="1" applyProtection="1">
      <alignment vertical="center"/>
    </xf>
    <xf numFmtId="0" fontId="16" fillId="3" borderId="16" xfId="0" applyFont="1" applyFill="1" applyBorder="1" applyAlignment="1" applyProtection="1">
      <alignment vertical="center"/>
    </xf>
    <xf numFmtId="0" fontId="16" fillId="3" borderId="17" xfId="0" applyFont="1" applyFill="1" applyBorder="1" applyAlignment="1" applyProtection="1">
      <alignment vertical="center"/>
    </xf>
    <xf numFmtId="0" fontId="21" fillId="4" borderId="8" xfId="0" applyFont="1" applyFill="1" applyBorder="1" applyAlignment="1">
      <alignment horizontal="center" vertical="center" wrapText="1"/>
    </xf>
    <xf numFmtId="0" fontId="16" fillId="17" borderId="14" xfId="0" applyFont="1" applyFill="1" applyBorder="1" applyAlignment="1" applyProtection="1">
      <alignment vertical="top" wrapText="1"/>
    </xf>
    <xf numFmtId="0" fontId="16" fillId="17" borderId="13" xfId="0" applyFont="1" applyFill="1" applyBorder="1" applyAlignment="1" applyProtection="1">
      <alignment vertical="top" wrapText="1"/>
    </xf>
    <xf numFmtId="0" fontId="16" fillId="17" borderId="0" xfId="0" applyFont="1" applyFill="1" applyBorder="1" applyProtection="1"/>
    <xf numFmtId="0" fontId="16" fillId="17" borderId="0" xfId="0" applyFont="1" applyFill="1" applyBorder="1" applyAlignment="1" applyProtection="1">
      <alignment vertical="top" wrapText="1"/>
    </xf>
    <xf numFmtId="0" fontId="16" fillId="3" borderId="14" xfId="0" applyFont="1" applyFill="1" applyBorder="1" applyAlignment="1" applyProtection="1">
      <alignment vertical="top" wrapText="1"/>
    </xf>
    <xf numFmtId="0" fontId="16" fillId="3" borderId="13" xfId="0" applyFont="1" applyFill="1" applyBorder="1" applyAlignment="1" applyProtection="1">
      <alignment vertical="top" wrapText="1"/>
    </xf>
    <xf numFmtId="0" fontId="21" fillId="3" borderId="0" xfId="0" applyFont="1" applyFill="1" applyBorder="1" applyAlignment="1" applyProtection="1">
      <alignment vertical="top" wrapText="1"/>
    </xf>
    <xf numFmtId="0" fontId="21" fillId="2" borderId="1" xfId="0" applyFont="1" applyFill="1" applyBorder="1" applyAlignment="1" applyProtection="1">
      <alignment vertical="top" wrapText="1"/>
    </xf>
    <xf numFmtId="0" fontId="21" fillId="2" borderId="1" xfId="0" applyFont="1" applyFill="1" applyBorder="1" applyAlignment="1" applyProtection="1">
      <alignment horizontal="center" vertical="top" wrapText="1"/>
    </xf>
    <xf numFmtId="0" fontId="16" fillId="3" borderId="15" xfId="0" applyFont="1" applyFill="1" applyBorder="1" applyAlignment="1" applyProtection="1">
      <alignment vertical="top" wrapText="1"/>
    </xf>
    <xf numFmtId="0" fontId="16" fillId="3" borderId="17" xfId="0" applyFont="1" applyFill="1" applyBorder="1" applyAlignment="1" applyProtection="1">
      <alignment vertical="top" wrapText="1"/>
    </xf>
    <xf numFmtId="0" fontId="16" fillId="0" borderId="0" xfId="0" applyFont="1" applyFill="1" applyBorder="1" applyAlignment="1" applyProtection="1"/>
    <xf numFmtId="0" fontId="16" fillId="0" borderId="0" xfId="0" applyFont="1" applyFill="1" applyBorder="1" applyProtection="1"/>
    <xf numFmtId="0" fontId="21" fillId="16" borderId="35" xfId="0" applyFont="1" applyFill="1" applyBorder="1" applyAlignment="1" applyProtection="1">
      <alignment horizontal="center" vertical="center" wrapText="1"/>
    </xf>
    <xf numFmtId="0" fontId="21" fillId="16" borderId="36" xfId="0" applyFont="1" applyFill="1" applyBorder="1" applyAlignment="1" applyProtection="1">
      <alignment horizontal="center" vertical="center" wrapText="1"/>
    </xf>
    <xf numFmtId="0" fontId="21" fillId="16" borderId="1" xfId="0" applyFont="1" applyFill="1" applyBorder="1" applyAlignment="1" applyProtection="1">
      <alignment horizontal="center" vertical="center" wrapText="1"/>
    </xf>
    <xf numFmtId="0" fontId="16" fillId="0" borderId="0" xfId="0" applyFont="1" applyBorder="1"/>
    <xf numFmtId="0" fontId="39" fillId="18" borderId="0" xfId="0" applyFont="1" applyFill="1" applyBorder="1" applyAlignment="1" applyProtection="1">
      <alignment vertical="top" wrapText="1"/>
    </xf>
    <xf numFmtId="17" fontId="39" fillId="18" borderId="0" xfId="0" applyNumberFormat="1" applyFont="1" applyFill="1" applyBorder="1" applyAlignment="1" applyProtection="1">
      <alignment horizontal="center" vertical="center" wrapText="1"/>
    </xf>
    <xf numFmtId="0" fontId="29" fillId="11" borderId="42" xfId="0" applyFont="1" applyFill="1" applyBorder="1" applyAlignment="1" applyProtection="1">
      <alignment horizontal="left" vertical="center" wrapText="1"/>
    </xf>
    <xf numFmtId="0" fontId="32" fillId="0" borderId="42" xfId="0" applyFont="1" applyBorder="1" applyAlignment="1" applyProtection="1">
      <alignment horizontal="left" vertical="center"/>
    </xf>
    <xf numFmtId="0" fontId="29" fillId="11" borderId="42" xfId="0" applyFont="1" applyFill="1" applyBorder="1" applyAlignment="1" applyProtection="1">
      <alignment horizontal="center" wrapText="1"/>
    </xf>
    <xf numFmtId="0" fontId="26" fillId="12" borderId="42" xfId="4" applyFill="1" applyBorder="1" applyAlignment="1" applyProtection="1">
      <alignment vertical="center"/>
      <protection locked="0"/>
    </xf>
    <xf numFmtId="0" fontId="34" fillId="8" borderId="44" xfId="4" applyFont="1" applyBorder="1" applyAlignment="1" applyProtection="1">
      <alignment vertical="center" wrapText="1"/>
      <protection locked="0"/>
    </xf>
    <xf numFmtId="0" fontId="34" fillId="12" borderId="44" xfId="4" applyFont="1" applyFill="1" applyBorder="1" applyAlignment="1" applyProtection="1">
      <alignment vertical="center" wrapText="1"/>
      <protection locked="0"/>
    </xf>
    <xf numFmtId="0" fontId="34" fillId="8" borderId="46" xfId="4" applyFont="1" applyBorder="1" applyAlignment="1" applyProtection="1">
      <alignment vertical="center"/>
      <protection locked="0"/>
    </xf>
    <xf numFmtId="0" fontId="34" fillId="12" borderId="46" xfId="4" applyFont="1" applyFill="1" applyBorder="1" applyAlignment="1" applyProtection="1">
      <alignment vertical="center"/>
      <protection locked="0"/>
    </xf>
    <xf numFmtId="0" fontId="29" fillId="11" borderId="45" xfId="0" applyFont="1" applyFill="1" applyBorder="1" applyAlignment="1" applyProtection="1">
      <alignment horizontal="center" vertical="center" wrapText="1"/>
    </xf>
    <xf numFmtId="0" fontId="34" fillId="8" borderId="47" xfId="4" applyFont="1" applyBorder="1" applyAlignment="1" applyProtection="1">
      <alignment horizontal="center" vertical="center"/>
      <protection locked="0"/>
    </xf>
    <xf numFmtId="0" fontId="34" fillId="12" borderId="47" xfId="4" applyFont="1" applyFill="1" applyBorder="1" applyAlignment="1" applyProtection="1">
      <alignment horizontal="center" vertical="center"/>
      <protection locked="0"/>
    </xf>
    <xf numFmtId="0" fontId="26" fillId="8" borderId="44" xfId="4" applyBorder="1" applyAlignment="1" applyProtection="1">
      <alignment vertical="center" wrapText="1"/>
      <protection locked="0"/>
    </xf>
    <xf numFmtId="0" fontId="26" fillId="12" borderId="44" xfId="4" applyFill="1" applyBorder="1" applyAlignment="1" applyProtection="1">
      <alignment vertical="center" wrapText="1"/>
      <protection locked="0"/>
    </xf>
    <xf numFmtId="10" fontId="26" fillId="12" borderId="45" xfId="4" applyNumberFormat="1" applyFill="1" applyBorder="1" applyAlignment="1" applyProtection="1">
      <alignment horizontal="center" vertical="center"/>
      <protection locked="0"/>
    </xf>
    <xf numFmtId="0" fontId="16" fillId="15" borderId="19" xfId="0" applyFont="1" applyFill="1" applyBorder="1" applyAlignment="1" applyProtection="1">
      <alignment horizontal="justify" vertical="center" wrapText="1"/>
    </xf>
    <xf numFmtId="0" fontId="16" fillId="0" borderId="1" xfId="0" applyFont="1" applyBorder="1" applyAlignment="1">
      <alignment horizontal="justify" vertical="center"/>
    </xf>
    <xf numFmtId="0" fontId="16" fillId="15" borderId="26" xfId="0" applyFont="1" applyFill="1" applyBorder="1" applyAlignment="1" applyProtection="1">
      <alignment horizontal="justify" vertical="center" wrapText="1"/>
    </xf>
    <xf numFmtId="43" fontId="16" fillId="0" borderId="0" xfId="0" applyNumberFormat="1" applyFont="1" applyAlignment="1">
      <alignment vertical="center"/>
    </xf>
    <xf numFmtId="49" fontId="10" fillId="3" borderId="14" xfId="0" applyNumberFormat="1" applyFont="1" applyFill="1" applyBorder="1" applyAlignment="1">
      <alignment horizontal="left" vertical="top" wrapText="1"/>
    </xf>
    <xf numFmtId="0" fontId="31" fillId="8" borderId="42" xfId="4" applyFont="1" applyBorder="1" applyAlignment="1" applyProtection="1">
      <alignment horizontal="center" vertical="center"/>
      <protection locked="0"/>
    </xf>
    <xf numFmtId="0" fontId="31" fillId="12" borderId="42" xfId="4" applyFont="1" applyFill="1" applyBorder="1" applyAlignment="1" applyProtection="1">
      <alignment horizontal="center" vertical="center"/>
      <protection locked="0"/>
    </xf>
    <xf numFmtId="10" fontId="31" fillId="12" borderId="45" xfId="4" applyNumberFormat="1" applyFont="1" applyFill="1" applyBorder="1" applyAlignment="1" applyProtection="1">
      <alignment horizontal="center" vertical="center"/>
      <protection locked="0"/>
    </xf>
    <xf numFmtId="0" fontId="31" fillId="12" borderId="43" xfId="4" applyFont="1" applyFill="1" applyBorder="1" applyAlignment="1" applyProtection="1">
      <alignment horizontal="center"/>
      <protection locked="0"/>
    </xf>
    <xf numFmtId="0" fontId="46" fillId="12" borderId="47" xfId="4" applyFont="1" applyFill="1" applyBorder="1" applyAlignment="1" applyProtection="1">
      <alignment horizontal="center" vertical="center"/>
      <protection locked="0"/>
    </xf>
    <xf numFmtId="0" fontId="31" fillId="8" borderId="43" xfId="4" applyFont="1" applyBorder="1" applyAlignment="1" applyProtection="1">
      <alignment horizontal="center"/>
      <protection locked="0"/>
    </xf>
    <xf numFmtId="10" fontId="31" fillId="8" borderId="45" xfId="4" applyNumberFormat="1" applyFont="1" applyBorder="1" applyAlignment="1" applyProtection="1">
      <alignment horizontal="center" vertical="center"/>
      <protection locked="0"/>
    </xf>
    <xf numFmtId="4" fontId="48" fillId="0" borderId="0" xfId="0" applyNumberFormat="1" applyFont="1"/>
    <xf numFmtId="0" fontId="16" fillId="0" borderId="0" xfId="0" applyFont="1" applyAlignment="1">
      <alignment horizontal="center" wrapText="1"/>
    </xf>
    <xf numFmtId="0" fontId="47" fillId="15" borderId="53" xfId="0" applyFont="1" applyFill="1" applyBorder="1" applyAlignment="1" applyProtection="1">
      <alignment horizontal="left" vertical="center" wrapText="1"/>
    </xf>
    <xf numFmtId="0" fontId="47" fillId="15" borderId="1" xfId="0" applyFont="1" applyFill="1" applyBorder="1" applyAlignment="1" applyProtection="1">
      <alignment horizontal="left" vertical="center" wrapText="1"/>
    </xf>
    <xf numFmtId="0" fontId="49" fillId="0" borderId="31" xfId="0" applyFont="1" applyBorder="1" applyAlignment="1">
      <alignment vertical="top" wrapText="1"/>
    </xf>
    <xf numFmtId="0" fontId="49" fillId="0" borderId="32" xfId="0" applyFont="1" applyBorder="1" applyAlignment="1">
      <alignment vertical="center" wrapText="1"/>
    </xf>
    <xf numFmtId="0" fontId="49" fillId="2" borderId="32" xfId="0" applyFont="1" applyFill="1" applyBorder="1" applyAlignment="1">
      <alignment vertical="top" wrapText="1"/>
    </xf>
    <xf numFmtId="0" fontId="47" fillId="15" borderId="31" xfId="0" applyFont="1" applyFill="1" applyBorder="1" applyAlignment="1" applyProtection="1">
      <alignment horizontal="left" vertical="center" wrapText="1"/>
    </xf>
    <xf numFmtId="0" fontId="47" fillId="3" borderId="13" xfId="0" applyFont="1" applyFill="1" applyBorder="1" applyAlignment="1" applyProtection="1">
      <alignment vertical="top" wrapText="1"/>
    </xf>
    <xf numFmtId="0" fontId="49" fillId="0" borderId="31" xfId="0" applyFont="1" applyBorder="1" applyAlignment="1">
      <alignment vertical="center" wrapText="1"/>
    </xf>
    <xf numFmtId="0" fontId="47" fillId="3" borderId="0" xfId="0" applyFont="1" applyFill="1" applyBorder="1" applyAlignment="1" applyProtection="1">
      <alignment vertical="top" wrapText="1"/>
    </xf>
    <xf numFmtId="49" fontId="47" fillId="3" borderId="14" xfId="0" applyNumberFormat="1" applyFont="1" applyFill="1" applyBorder="1" applyAlignment="1">
      <alignment horizontal="left" vertical="top" wrapText="1"/>
    </xf>
    <xf numFmtId="0" fontId="49" fillId="0" borderId="0" xfId="0" applyFont="1"/>
    <xf numFmtId="0" fontId="49" fillId="0" borderId="53" xfId="0" applyFont="1" applyBorder="1" applyAlignment="1">
      <alignment vertical="center" wrapText="1"/>
    </xf>
    <xf numFmtId="0" fontId="49" fillId="0" borderId="32" xfId="0" applyFont="1" applyBorder="1"/>
    <xf numFmtId="0" fontId="49" fillId="0" borderId="53" xfId="0" applyFont="1" applyBorder="1" applyAlignment="1">
      <alignment horizontal="left" vertical="center" wrapText="1"/>
    </xf>
    <xf numFmtId="0" fontId="47" fillId="2" borderId="32" xfId="0" applyFont="1" applyFill="1" applyBorder="1" applyAlignment="1">
      <alignment horizontal="left" vertical="center" wrapText="1"/>
    </xf>
    <xf numFmtId="0" fontId="47" fillId="18" borderId="31" xfId="0" applyFont="1" applyFill="1" applyBorder="1" applyAlignment="1" applyProtection="1">
      <alignment horizontal="left" vertical="center" wrapText="1"/>
    </xf>
    <xf numFmtId="0" fontId="49" fillId="0" borderId="33" xfId="0" applyFont="1" applyBorder="1" applyAlignment="1">
      <alignment vertical="center" wrapText="1"/>
    </xf>
    <xf numFmtId="0" fontId="47" fillId="2" borderId="9" xfId="0" applyFont="1" applyFill="1" applyBorder="1" applyAlignment="1" applyProtection="1">
      <alignment horizontal="center" vertical="center" wrapText="1"/>
    </xf>
    <xf numFmtId="0" fontId="49" fillId="0" borderId="58" xfId="0" applyFont="1" applyBorder="1"/>
    <xf numFmtId="0" fontId="49" fillId="2" borderId="32" xfId="0" applyFont="1" applyFill="1" applyBorder="1" applyAlignment="1">
      <alignment vertical="center"/>
    </xf>
    <xf numFmtId="0" fontId="47" fillId="15" borderId="32" xfId="0" applyFont="1" applyFill="1" applyBorder="1" applyAlignment="1" applyProtection="1">
      <alignment horizontal="left" vertical="center" wrapText="1"/>
    </xf>
    <xf numFmtId="0" fontId="47" fillId="2" borderId="58" xfId="0" applyFont="1" applyFill="1" applyBorder="1" applyAlignment="1" applyProtection="1">
      <alignment vertical="center" wrapText="1"/>
    </xf>
    <xf numFmtId="0" fontId="47" fillId="0" borderId="0" xfId="0" applyFont="1"/>
    <xf numFmtId="0" fontId="47" fillId="2" borderId="32" xfId="0" applyFont="1" applyFill="1" applyBorder="1" applyAlignment="1" applyProtection="1">
      <alignment vertical="center" wrapText="1"/>
    </xf>
    <xf numFmtId="0" fontId="10" fillId="2" borderId="55" xfId="0" applyFont="1" applyFill="1" applyBorder="1" applyAlignment="1" applyProtection="1">
      <alignment vertical="top" wrapText="1"/>
    </xf>
    <xf numFmtId="0" fontId="10" fillId="0" borderId="16" xfId="0" applyFont="1" applyBorder="1"/>
    <xf numFmtId="0" fontId="10" fillId="2" borderId="50" xfId="0" applyFont="1" applyFill="1" applyBorder="1" applyAlignment="1" applyProtection="1">
      <alignment vertical="center" wrapText="1"/>
    </xf>
    <xf numFmtId="0" fontId="10" fillId="2" borderId="51" xfId="0" applyFont="1" applyFill="1" applyBorder="1" applyAlignment="1" applyProtection="1">
      <alignment vertical="top" wrapText="1"/>
    </xf>
    <xf numFmtId="1" fontId="10" fillId="2" borderId="56" xfId="0" applyNumberFormat="1" applyFont="1" applyFill="1" applyBorder="1" applyAlignment="1" applyProtection="1">
      <alignment horizontal="left" vertical="center"/>
      <protection locked="0"/>
    </xf>
    <xf numFmtId="1" fontId="10" fillId="2" borderId="56" xfId="0" applyNumberFormat="1" applyFont="1" applyFill="1" applyBorder="1" applyAlignment="1" applyProtection="1">
      <alignment horizontal="left"/>
      <protection locked="0"/>
    </xf>
    <xf numFmtId="1" fontId="10" fillId="2" borderId="57" xfId="0" applyNumberFormat="1" applyFont="1" applyFill="1" applyBorder="1" applyAlignment="1" applyProtection="1">
      <alignment horizontal="left"/>
      <protection locked="0"/>
    </xf>
    <xf numFmtId="0" fontId="10" fillId="2" borderId="56" xfId="0" applyFont="1" applyFill="1" applyBorder="1" applyAlignment="1" applyProtection="1">
      <alignment horizontal="center" vertical="center"/>
    </xf>
    <xf numFmtId="0" fontId="15" fillId="2" borderId="56" xfId="7" applyFill="1" applyBorder="1" applyAlignment="1" applyProtection="1">
      <protection locked="0"/>
    </xf>
    <xf numFmtId="0" fontId="15" fillId="2" borderId="56" xfId="1" applyFill="1" applyBorder="1" applyAlignment="1" applyProtection="1">
      <protection locked="0"/>
    </xf>
    <xf numFmtId="0" fontId="22" fillId="3" borderId="0" xfId="0" applyFont="1" applyFill="1" applyBorder="1" applyAlignment="1" applyProtection="1">
      <alignment horizontal="left" vertical="center" wrapText="1"/>
    </xf>
    <xf numFmtId="0" fontId="22" fillId="3" borderId="0" xfId="0" applyFont="1" applyFill="1" applyBorder="1" applyAlignment="1" applyProtection="1">
      <alignment horizontal="center" wrapText="1"/>
    </xf>
    <xf numFmtId="0" fontId="16" fillId="17" borderId="18" xfId="0" applyFont="1" applyFill="1" applyBorder="1" applyAlignment="1" applyProtection="1">
      <alignment horizontal="left" vertical="center" wrapText="1"/>
    </xf>
    <xf numFmtId="0" fontId="29" fillId="11" borderId="25" xfId="0" applyFont="1" applyFill="1" applyBorder="1" applyAlignment="1" applyProtection="1">
      <alignment horizontal="center" vertical="center"/>
    </xf>
    <xf numFmtId="0" fontId="29" fillId="11" borderId="47" xfId="0" applyFont="1" applyFill="1" applyBorder="1" applyAlignment="1" applyProtection="1">
      <alignment horizontal="center" vertical="center" wrapText="1"/>
    </xf>
    <xf numFmtId="0" fontId="29" fillId="11" borderId="44" xfId="0" applyFont="1" applyFill="1" applyBorder="1" applyAlignment="1" applyProtection="1">
      <alignment horizontal="center" vertical="center" wrapText="1"/>
    </xf>
    <xf numFmtId="0" fontId="26" fillId="12" borderId="47" xfId="4" applyFill="1" applyBorder="1" applyAlignment="1" applyProtection="1">
      <alignment horizontal="center" vertical="center"/>
      <protection locked="0"/>
    </xf>
    <xf numFmtId="0" fontId="29" fillId="11" borderId="42" xfId="0" applyFont="1" applyFill="1" applyBorder="1" applyAlignment="1" applyProtection="1">
      <alignment horizontal="center" vertical="center" wrapText="1"/>
    </xf>
    <xf numFmtId="0" fontId="26" fillId="12" borderId="42" xfId="4" applyFill="1" applyBorder="1" applyAlignment="1" applyProtection="1">
      <alignment horizontal="center" vertical="center" wrapText="1"/>
      <protection locked="0"/>
    </xf>
    <xf numFmtId="0" fontId="16" fillId="15" borderId="37" xfId="0" applyFont="1" applyFill="1" applyBorder="1" applyAlignment="1" applyProtection="1">
      <alignment horizontal="justify" vertical="center" wrapText="1"/>
    </xf>
    <xf numFmtId="0" fontId="21" fillId="16" borderId="37" xfId="0" applyFont="1" applyFill="1" applyBorder="1" applyAlignment="1" applyProtection="1">
      <alignment horizontal="center" vertical="center" wrapText="1"/>
    </xf>
    <xf numFmtId="0" fontId="29" fillId="11" borderId="74" xfId="0" applyFont="1" applyFill="1" applyBorder="1" applyAlignment="1" applyProtection="1">
      <alignment horizontal="left" vertical="center" wrapText="1"/>
    </xf>
    <xf numFmtId="0" fontId="31" fillId="8" borderId="74" xfId="4" applyFont="1" applyBorder="1" applyAlignment="1" applyProtection="1">
      <alignment horizontal="center" vertical="center"/>
      <protection locked="0"/>
    </xf>
    <xf numFmtId="0" fontId="31" fillId="8" borderId="75" xfId="4" applyFont="1" applyBorder="1" applyAlignment="1" applyProtection="1">
      <alignment horizontal="center" vertical="center"/>
      <protection locked="0"/>
    </xf>
    <xf numFmtId="0" fontId="31" fillId="12" borderId="75" xfId="4" applyFont="1" applyFill="1" applyBorder="1" applyAlignment="1" applyProtection="1">
      <alignment horizontal="center" vertical="center"/>
      <protection locked="0"/>
    </xf>
    <xf numFmtId="0" fontId="31" fillId="12" borderId="74" xfId="4" applyFont="1" applyFill="1" applyBorder="1" applyAlignment="1" applyProtection="1">
      <alignment horizontal="center" vertical="center"/>
      <protection locked="0"/>
    </xf>
    <xf numFmtId="0" fontId="32" fillId="0" borderId="74" xfId="0" applyFont="1" applyBorder="1" applyAlignment="1" applyProtection="1">
      <alignment horizontal="left" vertical="center"/>
    </xf>
    <xf numFmtId="10" fontId="31" fillId="8" borderId="74" xfId="4" applyNumberFormat="1" applyFont="1" applyBorder="1" applyAlignment="1" applyProtection="1">
      <alignment horizontal="center" vertical="center"/>
      <protection locked="0"/>
    </xf>
    <xf numFmtId="10" fontId="31" fillId="8" borderId="75" xfId="4" applyNumberFormat="1" applyFont="1" applyBorder="1" applyAlignment="1" applyProtection="1">
      <alignment horizontal="center" vertical="center"/>
      <protection locked="0"/>
    </xf>
    <xf numFmtId="10" fontId="31" fillId="12" borderId="74" xfId="4" applyNumberFormat="1" applyFont="1" applyFill="1" applyBorder="1" applyAlignment="1" applyProtection="1">
      <alignment horizontal="center" vertical="center"/>
      <protection locked="0"/>
    </xf>
    <xf numFmtId="10" fontId="31" fillId="12" borderId="75" xfId="4" applyNumberFormat="1" applyFont="1" applyFill="1" applyBorder="1" applyAlignment="1" applyProtection="1">
      <alignment horizontal="center" vertical="center"/>
      <protection locked="0"/>
    </xf>
    <xf numFmtId="0" fontId="29" fillId="11" borderId="61" xfId="0" applyFont="1" applyFill="1" applyBorder="1" applyAlignment="1" applyProtection="1">
      <alignment horizontal="center" vertical="center" wrapText="1"/>
    </xf>
    <xf numFmtId="0" fontId="29" fillId="11" borderId="62" xfId="0" applyFont="1" applyFill="1" applyBorder="1" applyAlignment="1" applyProtection="1">
      <alignment horizontal="center" vertical="center" wrapText="1"/>
    </xf>
    <xf numFmtId="0" fontId="30" fillId="0" borderId="74" xfId="0" applyFont="1" applyFill="1" applyBorder="1" applyAlignment="1" applyProtection="1">
      <alignment vertical="center" wrapText="1"/>
    </xf>
    <xf numFmtId="0" fontId="33" fillId="2" borderId="74" xfId="0" applyFont="1" applyFill="1" applyBorder="1" applyAlignment="1" applyProtection="1">
      <alignment vertical="center" wrapText="1"/>
    </xf>
    <xf numFmtId="0" fontId="29" fillId="11" borderId="74" xfId="0" applyFont="1" applyFill="1" applyBorder="1" applyAlignment="1" applyProtection="1">
      <alignment horizontal="center" vertical="center" wrapText="1"/>
    </xf>
    <xf numFmtId="0" fontId="29" fillId="11" borderId="75" xfId="0" applyFont="1" applyFill="1" applyBorder="1" applyAlignment="1" applyProtection="1">
      <alignment horizontal="center" vertical="center" wrapText="1"/>
    </xf>
    <xf numFmtId="0" fontId="34" fillId="8" borderId="74" xfId="4" applyFont="1" applyBorder="1" applyAlignment="1" applyProtection="1">
      <alignment horizontal="center" vertical="center"/>
      <protection locked="0"/>
    </xf>
    <xf numFmtId="0" fontId="34" fillId="8" borderId="75" xfId="4" applyFont="1" applyBorder="1" applyAlignment="1" applyProtection="1">
      <alignment horizontal="center" vertical="center" wrapText="1"/>
      <protection locked="0"/>
    </xf>
    <xf numFmtId="0" fontId="34" fillId="12" borderId="74" xfId="4" applyFont="1" applyFill="1" applyBorder="1" applyAlignment="1" applyProtection="1">
      <alignment horizontal="center" vertical="center"/>
      <protection locked="0"/>
    </xf>
    <xf numFmtId="0" fontId="34" fillId="12" borderId="75" xfId="4" applyFont="1" applyFill="1" applyBorder="1" applyAlignment="1" applyProtection="1">
      <alignment horizontal="center" vertical="center" wrapText="1"/>
      <protection locked="0"/>
    </xf>
    <xf numFmtId="0" fontId="34" fillId="8" borderId="75" xfId="4" applyFont="1" applyBorder="1" applyAlignment="1" applyProtection="1">
      <alignment vertical="center"/>
      <protection locked="0"/>
    </xf>
    <xf numFmtId="0" fontId="34" fillId="12" borderId="75" xfId="4" applyFont="1" applyFill="1" applyBorder="1" applyAlignment="1" applyProtection="1">
      <alignment vertical="center"/>
      <protection locked="0"/>
    </xf>
    <xf numFmtId="0" fontId="34" fillId="8" borderId="75" xfId="4" applyFont="1" applyBorder="1" applyAlignment="1" applyProtection="1">
      <alignment horizontal="center" vertical="center"/>
      <protection locked="0"/>
    </xf>
    <xf numFmtId="0" fontId="34" fillId="12" borderId="75" xfId="4" applyFont="1" applyFill="1" applyBorder="1" applyAlignment="1" applyProtection="1">
      <alignment horizontal="center" vertical="center"/>
      <protection locked="0"/>
    </xf>
    <xf numFmtId="0" fontId="29" fillId="11" borderId="61" xfId="0" applyFont="1" applyFill="1" applyBorder="1" applyAlignment="1" applyProtection="1">
      <alignment horizontal="center" vertical="center"/>
    </xf>
    <xf numFmtId="0" fontId="29" fillId="11" borderId="73" xfId="0" applyFont="1" applyFill="1" applyBorder="1" applyAlignment="1" applyProtection="1">
      <alignment horizontal="center" vertical="center" wrapText="1"/>
    </xf>
    <xf numFmtId="0" fontId="26" fillId="8" borderId="74" xfId="4" applyBorder="1" applyProtection="1">
      <protection locked="0"/>
    </xf>
    <xf numFmtId="0" fontId="34" fillId="8" borderId="73" xfId="4" applyFont="1" applyBorder="1" applyAlignment="1" applyProtection="1">
      <alignment vertical="center" wrapText="1"/>
      <protection locked="0"/>
    </xf>
    <xf numFmtId="0" fontId="26" fillId="12" borderId="74" xfId="4" applyFill="1" applyBorder="1" applyProtection="1">
      <protection locked="0"/>
    </xf>
    <xf numFmtId="0" fontId="34" fillId="12" borderId="73" xfId="4" applyFont="1" applyFill="1" applyBorder="1" applyAlignment="1" applyProtection="1">
      <alignment vertical="center" wrapText="1"/>
      <protection locked="0"/>
    </xf>
    <xf numFmtId="0" fontId="29" fillId="11" borderId="78" xfId="0" applyFont="1" applyFill="1" applyBorder="1" applyAlignment="1" applyProtection="1">
      <alignment horizontal="center" vertical="center" wrapText="1"/>
    </xf>
    <xf numFmtId="0" fontId="29" fillId="11" borderId="76" xfId="0" applyFont="1" applyFill="1" applyBorder="1" applyAlignment="1" applyProtection="1">
      <alignment horizontal="center" vertical="center"/>
    </xf>
    <xf numFmtId="0" fontId="26" fillId="8" borderId="74" xfId="4" applyBorder="1" applyAlignment="1" applyProtection="1">
      <alignment vertical="center" wrapText="1"/>
      <protection locked="0"/>
    </xf>
    <xf numFmtId="0" fontId="26" fillId="12" borderId="74" xfId="4" applyFill="1" applyBorder="1" applyAlignment="1" applyProtection="1">
      <alignment vertical="center" wrapText="1"/>
      <protection locked="0"/>
    </xf>
    <xf numFmtId="0" fontId="26" fillId="8" borderId="75" xfId="4" applyBorder="1" applyAlignment="1" applyProtection="1">
      <alignment horizontal="center" vertical="center"/>
      <protection locked="0"/>
    </xf>
    <xf numFmtId="0" fontId="26" fillId="12" borderId="75" xfId="4" applyFill="1" applyBorder="1" applyAlignment="1" applyProtection="1">
      <alignment horizontal="center" vertical="center"/>
      <protection locked="0"/>
    </xf>
    <xf numFmtId="0" fontId="29" fillId="11" borderId="62" xfId="0" applyFont="1" applyFill="1" applyBorder="1" applyAlignment="1" applyProtection="1">
      <alignment horizontal="center" vertical="center"/>
    </xf>
    <xf numFmtId="0" fontId="26" fillId="8" borderId="75" xfId="4" applyBorder="1" applyAlignment="1" applyProtection="1">
      <alignment vertical="center" wrapText="1"/>
      <protection locked="0"/>
    </xf>
    <xf numFmtId="0" fontId="26" fillId="12" borderId="73" xfId="4" applyFill="1" applyBorder="1" applyAlignment="1" applyProtection="1">
      <alignment horizontal="center" vertical="center" wrapText="1"/>
      <protection locked="0"/>
    </xf>
    <xf numFmtId="0" fontId="26" fillId="12" borderId="75" xfId="4" applyFill="1" applyBorder="1" applyAlignment="1" applyProtection="1">
      <alignment vertical="center" wrapText="1"/>
      <protection locked="0"/>
    </xf>
    <xf numFmtId="0" fontId="29" fillId="11" borderId="73" xfId="0" applyFont="1" applyFill="1" applyBorder="1" applyAlignment="1" applyProtection="1">
      <alignment horizontal="center" vertical="center"/>
    </xf>
    <xf numFmtId="10" fontId="26" fillId="12" borderId="74" xfId="4" applyNumberFormat="1" applyFill="1" applyBorder="1" applyAlignment="1" applyProtection="1">
      <alignment horizontal="center" vertical="center"/>
      <protection locked="0"/>
    </xf>
    <xf numFmtId="0" fontId="29" fillId="11" borderId="74" xfId="0" applyFont="1" applyFill="1" applyBorder="1" applyAlignment="1" applyProtection="1">
      <alignment horizontal="center" wrapText="1"/>
    </xf>
    <xf numFmtId="0" fontId="29" fillId="11" borderId="75" xfId="0" applyFont="1" applyFill="1" applyBorder="1" applyAlignment="1" applyProtection="1">
      <alignment horizontal="center" wrapText="1"/>
    </xf>
    <xf numFmtId="0" fontId="26" fillId="8" borderId="74" xfId="4" applyBorder="1" applyAlignment="1" applyProtection="1">
      <alignment horizontal="center" vertical="center"/>
      <protection locked="0"/>
    </xf>
    <xf numFmtId="0" fontId="26" fillId="12" borderId="74" xfId="4" applyFill="1" applyBorder="1" applyAlignment="1" applyProtection="1">
      <alignment horizontal="center" vertical="center"/>
      <protection locked="0"/>
    </xf>
    <xf numFmtId="0" fontId="46" fillId="8" borderId="74" xfId="4" applyFont="1" applyBorder="1" applyAlignment="1" applyProtection="1">
      <alignment horizontal="center" vertical="center" wrapText="1"/>
      <protection locked="0"/>
    </xf>
    <xf numFmtId="0" fontId="46" fillId="8" borderId="75" xfId="4" applyFont="1" applyBorder="1" applyAlignment="1" applyProtection="1">
      <alignment horizontal="center" vertical="center"/>
      <protection locked="0"/>
    </xf>
    <xf numFmtId="0" fontId="46" fillId="12" borderId="74" xfId="4" applyFont="1" applyFill="1" applyBorder="1" applyAlignment="1" applyProtection="1">
      <alignment horizontal="center" vertical="center" wrapText="1"/>
      <protection locked="0"/>
    </xf>
    <xf numFmtId="0" fontId="46" fillId="12" borderId="75" xfId="4" applyFont="1" applyFill="1" applyBorder="1" applyAlignment="1" applyProtection="1">
      <alignment horizontal="center" vertical="center"/>
      <protection locked="0"/>
    </xf>
    <xf numFmtId="0" fontId="26" fillId="8" borderId="73" xfId="4" applyBorder="1" applyAlignment="1" applyProtection="1">
      <alignment vertical="center"/>
      <protection locked="0"/>
    </xf>
    <xf numFmtId="0" fontId="16" fillId="3" borderId="54" xfId="0" applyFont="1" applyFill="1" applyBorder="1" applyAlignment="1" applyProtection="1">
      <alignment horizontal="left" vertical="top" wrapText="1"/>
    </xf>
    <xf numFmtId="0" fontId="10" fillId="2" borderId="1" xfId="0" applyFont="1" applyFill="1" applyBorder="1" applyAlignment="1" applyProtection="1">
      <alignment horizontal="left" vertical="top" wrapText="1"/>
      <protection locked="0"/>
    </xf>
    <xf numFmtId="1" fontId="10" fillId="2" borderId="1" xfId="0" applyNumberFormat="1" applyFont="1" applyFill="1" applyBorder="1" applyAlignment="1" applyProtection="1">
      <alignment horizontal="left" wrapText="1"/>
      <protection locked="0"/>
    </xf>
    <xf numFmtId="0" fontId="10" fillId="0" borderId="26" xfId="0" applyFont="1" applyFill="1" applyBorder="1" applyAlignment="1" applyProtection="1">
      <alignment horizontal="justify" vertical="top" wrapText="1"/>
    </xf>
    <xf numFmtId="0" fontId="10" fillId="0" borderId="1" xfId="0" applyFont="1" applyFill="1" applyBorder="1" applyAlignment="1" applyProtection="1">
      <alignment horizontal="center" vertical="center" wrapText="1"/>
    </xf>
    <xf numFmtId="0" fontId="53" fillId="22" borderId="79" xfId="0" applyFont="1" applyFill="1" applyBorder="1" applyAlignment="1">
      <alignment horizontal="left" vertical="center" wrapText="1"/>
    </xf>
    <xf numFmtId="0" fontId="53" fillId="22" borderId="80" xfId="0" applyFont="1" applyFill="1" applyBorder="1" applyAlignment="1">
      <alignment horizontal="left" vertical="center" wrapText="1"/>
    </xf>
    <xf numFmtId="0" fontId="53" fillId="22" borderId="81" xfId="0" applyFont="1" applyFill="1" applyBorder="1" applyAlignment="1">
      <alignment horizontal="left" vertical="center" wrapText="1"/>
    </xf>
    <xf numFmtId="0" fontId="53" fillId="22" borderId="30" xfId="0" applyFont="1" applyFill="1" applyBorder="1" applyAlignment="1">
      <alignment horizontal="left" vertical="center" wrapText="1"/>
    </xf>
    <xf numFmtId="0" fontId="53" fillId="22" borderId="82" xfId="0" applyFont="1" applyFill="1" applyBorder="1" applyAlignment="1">
      <alignment horizontal="left" vertical="center" wrapText="1"/>
    </xf>
    <xf numFmtId="0" fontId="53" fillId="22" borderId="83" xfId="0" applyFont="1" applyFill="1" applyBorder="1" applyAlignment="1">
      <alignment horizontal="left" vertical="center" wrapText="1"/>
    </xf>
    <xf numFmtId="0" fontId="53" fillId="22" borderId="84" xfId="0" applyFont="1" applyFill="1" applyBorder="1" applyAlignment="1">
      <alignment horizontal="left" vertical="center" wrapText="1"/>
    </xf>
    <xf numFmtId="0" fontId="63" fillId="2" borderId="0" xfId="0" applyFont="1" applyFill="1"/>
    <xf numFmtId="0" fontId="61" fillId="20" borderId="0" xfId="0" applyFont="1" applyFill="1" applyAlignment="1">
      <alignmen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center" wrapText="1"/>
    </xf>
    <xf numFmtId="3" fontId="1" fillId="0" borderId="0" xfId="0" applyNumberFormat="1" applyFont="1" applyFill="1" applyBorder="1" applyAlignment="1" applyProtection="1">
      <alignment vertical="top" wrapText="1"/>
      <protection locked="0"/>
    </xf>
    <xf numFmtId="0" fontId="11"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wrapText="1"/>
    </xf>
    <xf numFmtId="0" fontId="47" fillId="2" borderId="40" xfId="0" applyFont="1" applyFill="1" applyBorder="1" applyAlignment="1" applyProtection="1">
      <alignment horizontal="center" vertical="center" wrapText="1"/>
    </xf>
    <xf numFmtId="0" fontId="10" fillId="13" borderId="86" xfId="0" applyFont="1" applyFill="1" applyBorder="1" applyAlignment="1" applyProtection="1">
      <alignment vertical="top" wrapText="1"/>
    </xf>
    <xf numFmtId="0" fontId="10" fillId="13" borderId="87" xfId="0" applyFont="1" applyFill="1" applyBorder="1" applyAlignment="1" applyProtection="1">
      <alignment vertical="top" wrapText="1"/>
    </xf>
    <xf numFmtId="43" fontId="10" fillId="13" borderId="88" xfId="5" applyNumberFormat="1" applyFont="1" applyFill="1" applyBorder="1" applyAlignment="1" applyProtection="1">
      <alignment vertical="top" wrapText="1"/>
    </xf>
    <xf numFmtId="43" fontId="1" fillId="2" borderId="75" xfId="5" applyFont="1" applyFill="1" applyBorder="1" applyAlignment="1" applyProtection="1">
      <alignment vertical="top" wrapText="1"/>
    </xf>
    <xf numFmtId="0" fontId="10" fillId="13" borderId="89" xfId="0" applyFont="1" applyFill="1" applyBorder="1" applyAlignment="1" applyProtection="1">
      <alignment vertical="top" wrapText="1"/>
    </xf>
    <xf numFmtId="0" fontId="10" fillId="21" borderId="87" xfId="0" applyFont="1" applyFill="1" applyBorder="1" applyAlignment="1" applyProtection="1">
      <alignment vertical="top" wrapText="1"/>
    </xf>
    <xf numFmtId="0" fontId="10" fillId="2" borderId="78" xfId="0" applyFont="1" applyFill="1" applyBorder="1" applyAlignment="1" applyProtection="1">
      <alignment vertical="top" wrapText="1"/>
    </xf>
    <xf numFmtId="43" fontId="10" fillId="2" borderId="90" xfId="5" applyNumberFormat="1" applyFont="1" applyFill="1" applyBorder="1" applyAlignment="1" applyProtection="1">
      <alignment vertical="top" wrapText="1"/>
    </xf>
    <xf numFmtId="0" fontId="10" fillId="13" borderId="91" xfId="0" applyFont="1" applyFill="1" applyBorder="1" applyAlignment="1" applyProtection="1">
      <alignment vertical="top" wrapText="1"/>
    </xf>
    <xf numFmtId="43" fontId="10" fillId="13" borderId="92" xfId="5" applyNumberFormat="1" applyFont="1" applyFill="1" applyBorder="1" applyAlignment="1" applyProtection="1">
      <alignment vertical="top" wrapText="1"/>
    </xf>
    <xf numFmtId="0" fontId="10" fillId="2" borderId="93" xfId="0" applyFont="1" applyFill="1" applyBorder="1" applyAlignment="1" applyProtection="1">
      <alignment vertical="top" wrapText="1"/>
    </xf>
    <xf numFmtId="43" fontId="10" fillId="2" borderId="94" xfId="5" applyNumberFormat="1" applyFont="1" applyFill="1" applyBorder="1" applyAlignment="1" applyProtection="1">
      <alignment vertical="top" wrapText="1"/>
    </xf>
    <xf numFmtId="43" fontId="1" fillId="2" borderId="95" xfId="5" applyFont="1" applyFill="1" applyBorder="1" applyAlignment="1" applyProtection="1">
      <alignment vertical="top" wrapText="1"/>
    </xf>
    <xf numFmtId="0" fontId="1" fillId="2" borderId="96" xfId="0" applyFont="1" applyFill="1" applyBorder="1" applyAlignment="1" applyProtection="1">
      <alignment vertical="top" wrapText="1"/>
    </xf>
    <xf numFmtId="0" fontId="10" fillId="13" borderId="97" xfId="0" applyFont="1" applyFill="1" applyBorder="1" applyAlignment="1" applyProtection="1">
      <alignment vertical="top" wrapText="1"/>
    </xf>
    <xf numFmtId="0" fontId="1" fillId="2" borderId="98" xfId="0" applyFont="1" applyFill="1" applyBorder="1" applyAlignment="1" applyProtection="1">
      <alignment vertical="top" wrapText="1"/>
    </xf>
    <xf numFmtId="0" fontId="10" fillId="15" borderId="93" xfId="0" applyFont="1" applyFill="1" applyBorder="1" applyAlignment="1" applyProtection="1">
      <alignment horizontal="left" vertical="center" wrapText="1"/>
    </xf>
    <xf numFmtId="0" fontId="47" fillId="18" borderId="93" xfId="0" applyFont="1" applyFill="1" applyBorder="1" applyAlignment="1" applyProtection="1">
      <alignment horizontal="left" vertical="center" wrapText="1"/>
    </xf>
    <xf numFmtId="0" fontId="47" fillId="0" borderId="99" xfId="0" applyFont="1" applyFill="1" applyBorder="1" applyAlignment="1" applyProtection="1">
      <alignment horizontal="left" vertical="center" wrapText="1"/>
    </xf>
    <xf numFmtId="43" fontId="47" fillId="0" borderId="99" xfId="5" applyFont="1" applyFill="1" applyBorder="1" applyAlignment="1" applyProtection="1">
      <alignment horizontal="left" vertical="center" wrapText="1"/>
    </xf>
    <xf numFmtId="14" fontId="47" fillId="15" borderId="101" xfId="0" applyNumberFormat="1" applyFont="1" applyFill="1" applyBorder="1" applyAlignment="1" applyProtection="1">
      <alignment horizontal="left" vertical="center" wrapText="1"/>
    </xf>
    <xf numFmtId="43" fontId="47" fillId="0" borderId="102" xfId="5" applyFont="1" applyFill="1" applyBorder="1" applyAlignment="1" applyProtection="1">
      <alignment horizontal="left" vertical="center" wrapText="1"/>
    </xf>
    <xf numFmtId="43" fontId="47" fillId="16" borderId="94" xfId="5" applyFont="1" applyFill="1" applyBorder="1" applyAlignment="1" applyProtection="1">
      <alignment horizontal="left" vertical="center" wrapText="1"/>
    </xf>
    <xf numFmtId="0" fontId="39" fillId="15" borderId="104" xfId="0" applyFont="1" applyFill="1" applyBorder="1" applyAlignment="1" applyProtection="1">
      <alignment horizontal="left" vertical="center" wrapText="1"/>
    </xf>
    <xf numFmtId="43" fontId="39" fillId="15" borderId="101" xfId="5" applyFont="1" applyFill="1" applyBorder="1" applyAlignment="1" applyProtection="1">
      <alignment horizontal="left" vertical="center" wrapText="1"/>
    </xf>
    <xf numFmtId="0" fontId="39" fillId="15" borderId="101" xfId="0" applyFont="1" applyFill="1" applyBorder="1" applyAlignment="1" applyProtection="1">
      <alignment horizontal="left" vertical="center" wrapText="1"/>
    </xf>
    <xf numFmtId="43" fontId="39" fillId="18" borderId="101" xfId="5" applyFont="1" applyFill="1" applyBorder="1" applyAlignment="1" applyProtection="1">
      <alignment horizontal="left" vertical="center" wrapText="1"/>
    </xf>
    <xf numFmtId="43" fontId="39" fillId="16" borderId="94" xfId="5" applyFont="1" applyFill="1" applyBorder="1" applyAlignment="1" applyProtection="1">
      <alignment horizontal="left" vertical="center" wrapText="1"/>
    </xf>
    <xf numFmtId="0" fontId="10" fillId="15" borderId="105" xfId="0" applyFont="1" applyFill="1" applyBorder="1" applyAlignment="1" applyProtection="1">
      <alignment horizontal="left" vertical="center" wrapText="1"/>
    </xf>
    <xf numFmtId="0" fontId="47" fillId="15" borderId="104" xfId="0" applyFont="1" applyFill="1" applyBorder="1" applyAlignment="1" applyProtection="1">
      <alignment horizontal="left" vertical="top" wrapText="1"/>
    </xf>
    <xf numFmtId="0" fontId="47" fillId="15" borderId="106" xfId="0" applyFont="1" applyFill="1" applyBorder="1" applyAlignment="1" applyProtection="1">
      <alignment horizontal="left" vertical="center" wrapText="1"/>
    </xf>
    <xf numFmtId="0" fontId="47" fillId="15" borderId="104" xfId="0" applyFont="1" applyFill="1" applyBorder="1" applyAlignment="1" applyProtection="1">
      <alignment horizontal="left" vertical="center" wrapText="1"/>
    </xf>
    <xf numFmtId="0" fontId="49" fillId="0" borderId="106" xfId="0" applyFont="1" applyBorder="1" applyAlignment="1">
      <alignment vertical="center" wrapText="1"/>
    </xf>
    <xf numFmtId="0" fontId="47" fillId="15" borderId="106" xfId="0" applyFont="1" applyFill="1" applyBorder="1" applyAlignment="1" applyProtection="1">
      <alignment horizontal="left" vertical="top" wrapText="1"/>
    </xf>
    <xf numFmtId="0" fontId="49" fillId="0" borderId="106" xfId="0" applyFont="1" applyBorder="1" applyAlignment="1">
      <alignment vertical="top" wrapText="1"/>
    </xf>
    <xf numFmtId="0" fontId="49" fillId="0" borderId="99" xfId="0" applyFont="1" applyBorder="1" applyAlignment="1">
      <alignment vertical="center" wrapText="1"/>
    </xf>
    <xf numFmtId="0" fontId="47" fillId="18" borderId="104" xfId="0" applyFont="1" applyFill="1" applyBorder="1" applyAlignment="1" applyProtection="1">
      <alignment horizontal="left" vertical="center" wrapText="1"/>
    </xf>
    <xf numFmtId="0" fontId="47" fillId="18" borderId="106" xfId="0" applyFont="1" applyFill="1" applyBorder="1" applyAlignment="1" applyProtection="1">
      <alignment horizontal="left" vertical="center" wrapText="1"/>
    </xf>
    <xf numFmtId="0" fontId="49" fillId="2" borderId="106" xfId="0" applyFont="1" applyFill="1" applyBorder="1" applyAlignment="1">
      <alignment vertical="top" wrapText="1"/>
    </xf>
    <xf numFmtId="0" fontId="49" fillId="0" borderId="104" xfId="0" applyFont="1" applyBorder="1" applyAlignment="1">
      <alignment vertical="center" wrapText="1"/>
    </xf>
    <xf numFmtId="0" fontId="49" fillId="2" borderId="99" xfId="0" applyFont="1" applyFill="1" applyBorder="1" applyAlignment="1">
      <alignment vertical="top" wrapText="1"/>
    </xf>
    <xf numFmtId="0" fontId="49" fillId="0" borderId="99" xfId="0" applyFont="1" applyBorder="1"/>
    <xf numFmtId="0" fontId="49" fillId="0" borderId="106" xfId="0" applyFont="1" applyBorder="1"/>
    <xf numFmtId="0" fontId="49" fillId="2" borderId="104" xfId="0" applyFont="1" applyFill="1" applyBorder="1" applyAlignment="1">
      <alignment vertical="center" wrapText="1"/>
    </xf>
    <xf numFmtId="0" fontId="49" fillId="2" borderId="106" xfId="0" applyFont="1" applyFill="1" applyBorder="1" applyAlignment="1">
      <alignment vertical="center" wrapText="1"/>
    </xf>
    <xf numFmtId="0" fontId="47" fillId="2" borderId="114" xfId="0" applyFont="1" applyFill="1" applyBorder="1" applyAlignment="1">
      <alignment horizontal="left" vertical="center"/>
    </xf>
    <xf numFmtId="0" fontId="47" fillId="2" borderId="105" xfId="0" applyFont="1" applyFill="1" applyBorder="1" applyAlignment="1">
      <alignment horizontal="left" vertical="center"/>
    </xf>
    <xf numFmtId="0" fontId="47" fillId="2" borderId="99" xfId="0" applyFont="1" applyFill="1" applyBorder="1" applyAlignment="1">
      <alignment horizontal="left" vertical="center" wrapText="1"/>
    </xf>
    <xf numFmtId="0" fontId="47" fillId="2" borderId="106" xfId="0" applyFont="1" applyFill="1" applyBorder="1" applyAlignment="1">
      <alignment horizontal="left" vertical="center" wrapText="1"/>
    </xf>
    <xf numFmtId="0" fontId="49" fillId="0" borderId="104" xfId="0" applyFont="1" applyBorder="1"/>
    <xf numFmtId="0" fontId="49" fillId="2" borderId="99" xfId="0" applyFont="1" applyFill="1" applyBorder="1" applyAlignment="1">
      <alignment vertical="center"/>
    </xf>
    <xf numFmtId="0" fontId="47" fillId="15" borderId="99" xfId="0" applyFont="1" applyFill="1" applyBorder="1" applyAlignment="1" applyProtection="1">
      <alignment horizontal="left" vertical="center" wrapText="1"/>
    </xf>
    <xf numFmtId="0" fontId="47" fillId="2" borderId="99" xfId="0" applyFont="1" applyFill="1" applyBorder="1" applyAlignment="1" applyProtection="1">
      <alignment vertical="center" wrapText="1"/>
    </xf>
    <xf numFmtId="0" fontId="47" fillId="2" borderId="104" xfId="0" applyFont="1" applyFill="1" applyBorder="1" applyAlignment="1" applyProtection="1">
      <alignment vertical="center" wrapText="1"/>
    </xf>
    <xf numFmtId="0" fontId="47" fillId="2" borderId="106" xfId="0" applyFont="1" applyFill="1" applyBorder="1" applyAlignment="1" applyProtection="1">
      <alignment vertical="center" wrapText="1"/>
    </xf>
    <xf numFmtId="0" fontId="8" fillId="3" borderId="0" xfId="0" applyFont="1" applyFill="1" applyBorder="1" applyAlignment="1" applyProtection="1">
      <alignment horizontal="left" vertical="center" wrapText="1"/>
    </xf>
    <xf numFmtId="0" fontId="10" fillId="0" borderId="0" xfId="0" applyFont="1" applyAlignment="1"/>
    <xf numFmtId="0" fontId="10" fillId="3" borderId="11" xfId="0" applyFont="1" applyFill="1" applyBorder="1" applyProtection="1"/>
    <xf numFmtId="0" fontId="10" fillId="3" borderId="11" xfId="0" applyFont="1" applyFill="1" applyBorder="1" applyAlignment="1"/>
    <xf numFmtId="0" fontId="8" fillId="3" borderId="0" xfId="0" applyFont="1" applyFill="1" applyBorder="1" applyAlignment="1" applyProtection="1">
      <alignment horizontal="center" wrapText="1"/>
    </xf>
    <xf numFmtId="0" fontId="10" fillId="3" borderId="0" xfId="0" applyFont="1" applyFill="1" applyBorder="1" applyAlignment="1"/>
    <xf numFmtId="0" fontId="10" fillId="0" borderId="26" xfId="8" applyFont="1" applyFill="1" applyBorder="1" applyAlignment="1" applyProtection="1">
      <alignment horizontal="justify" vertical="top" wrapText="1"/>
    </xf>
    <xf numFmtId="0" fontId="10" fillId="0" borderId="7" xfId="0" applyFont="1" applyFill="1" applyBorder="1" applyAlignment="1" applyProtection="1">
      <alignment horizontal="justify" vertical="top" wrapText="1"/>
    </xf>
    <xf numFmtId="0" fontId="10" fillId="5" borderId="0" xfId="0" applyFont="1" applyFill="1" applyBorder="1" applyAlignment="1" applyProtection="1">
      <alignment horizontal="right" vertical="center"/>
    </xf>
    <xf numFmtId="0" fontId="10" fillId="3" borderId="0" xfId="0" applyFont="1" applyFill="1" applyBorder="1" applyAlignment="1" applyProtection="1">
      <alignment horizontal="right" vertical="center"/>
    </xf>
    <xf numFmtId="0" fontId="10" fillId="3" borderId="0" xfId="0" applyFont="1" applyFill="1" applyBorder="1" applyAlignment="1" applyProtection="1">
      <alignment horizontal="right"/>
    </xf>
    <xf numFmtId="0" fontId="10" fillId="2" borderId="1" xfId="0" applyFont="1" applyFill="1" applyBorder="1" applyAlignment="1">
      <alignment horizontal="justify" vertical="top" wrapText="1"/>
    </xf>
    <xf numFmtId="0" fontId="8" fillId="3" borderId="0" xfId="0" applyFont="1" applyFill="1" applyBorder="1" applyAlignment="1" applyProtection="1"/>
    <xf numFmtId="0" fontId="10" fillId="3" borderId="0" xfId="0" applyFont="1" applyFill="1"/>
    <xf numFmtId="0" fontId="10" fillId="2" borderId="1" xfId="0" applyFont="1" applyFill="1" applyBorder="1" applyAlignment="1"/>
    <xf numFmtId="0" fontId="14" fillId="3" borderId="0" xfId="0" applyFont="1" applyFill="1" applyBorder="1" applyAlignment="1" applyProtection="1">
      <alignment horizontal="left" vertical="center" wrapText="1"/>
    </xf>
    <xf numFmtId="0" fontId="11" fillId="3" borderId="0" xfId="0" applyFont="1" applyFill="1" applyBorder="1" applyProtection="1"/>
    <xf numFmtId="0" fontId="10" fillId="2" borderId="2" xfId="0" applyFont="1" applyFill="1" applyBorder="1" applyAlignment="1" applyProtection="1">
      <alignment horizontal="left" vertical="top" wrapText="1"/>
    </xf>
    <xf numFmtId="0" fontId="10" fillId="2" borderId="56" xfId="0" applyFont="1" applyFill="1" applyBorder="1" applyAlignment="1" applyProtection="1">
      <alignment horizontal="left" vertical="top" wrapText="1"/>
    </xf>
    <xf numFmtId="0" fontId="10" fillId="2" borderId="37" xfId="0" applyFont="1" applyFill="1" applyBorder="1" applyAlignment="1" applyProtection="1">
      <alignment horizontal="left" vertical="top" wrapText="1"/>
    </xf>
    <xf numFmtId="0" fontId="10" fillId="3" borderId="16" xfId="0" applyFont="1" applyFill="1" applyBorder="1" applyAlignment="1"/>
    <xf numFmtId="0" fontId="16" fillId="0" borderId="16" xfId="0" applyFont="1" applyFill="1" applyBorder="1" applyAlignment="1" applyProtection="1">
      <alignment vertical="center"/>
    </xf>
    <xf numFmtId="0" fontId="65" fillId="0" borderId="0" xfId="0" applyFont="1"/>
    <xf numFmtId="0" fontId="10" fillId="3" borderId="11" xfId="0" applyFont="1" applyFill="1" applyBorder="1" applyAlignment="1" applyProtection="1">
      <alignment horizontal="left" vertical="center"/>
    </xf>
    <xf numFmtId="0" fontId="10" fillId="3" borderId="14" xfId="0" applyFont="1" applyFill="1" applyBorder="1" applyProtection="1"/>
    <xf numFmtId="0" fontId="10" fillId="0" borderId="16" xfId="0" applyFont="1" applyFill="1" applyBorder="1" applyAlignment="1" applyProtection="1">
      <alignment vertical="center"/>
    </xf>
    <xf numFmtId="0" fontId="10" fillId="0" borderId="0" xfId="0" applyFont="1" applyFill="1"/>
    <xf numFmtId="0" fontId="21" fillId="0" borderId="0" xfId="0" applyFont="1"/>
    <xf numFmtId="0" fontId="15" fillId="0" borderId="0" xfId="1" applyAlignment="1" applyProtection="1">
      <alignment horizontal="right" vertical="center" wrapText="1"/>
    </xf>
    <xf numFmtId="0" fontId="15" fillId="0" borderId="0" xfId="1" applyAlignment="1" applyProtection="1">
      <alignment vertical="center" wrapText="1"/>
    </xf>
    <xf numFmtId="0" fontId="69" fillId="0" borderId="0" xfId="0" applyFont="1" applyAlignment="1">
      <alignment horizontal="center" vertical="center" wrapText="1"/>
    </xf>
    <xf numFmtId="0" fontId="68" fillId="0" borderId="0" xfId="0" applyFont="1" applyAlignment="1">
      <alignment vertical="center" wrapText="1"/>
    </xf>
    <xf numFmtId="0" fontId="69" fillId="0" borderId="0" xfId="0" applyFont="1" applyAlignment="1">
      <alignment vertical="center" wrapText="1"/>
    </xf>
    <xf numFmtId="0" fontId="68" fillId="0" borderId="0" xfId="0" applyFont="1" applyAlignment="1">
      <alignment horizontal="right" vertical="center" wrapText="1"/>
    </xf>
    <xf numFmtId="0" fontId="16" fillId="0" borderId="0" xfId="0" applyFont="1" applyFill="1" applyBorder="1" applyAlignment="1" applyProtection="1">
      <alignment vertical="top" wrapText="1"/>
    </xf>
    <xf numFmtId="0" fontId="21" fillId="0" borderId="0" xfId="0" applyFont="1" applyFill="1" applyBorder="1" applyAlignment="1" applyProtection="1">
      <alignment vertical="top" wrapText="1"/>
    </xf>
    <xf numFmtId="0" fontId="16" fillId="2" borderId="48" xfId="0" applyFont="1" applyFill="1" applyBorder="1" applyAlignment="1" applyProtection="1">
      <alignment horizontal="left" vertical="center" wrapText="1"/>
    </xf>
    <xf numFmtId="0" fontId="16" fillId="2" borderId="47" xfId="0" applyFont="1" applyFill="1" applyBorder="1" applyAlignment="1" applyProtection="1">
      <alignment horizontal="left" vertical="center" wrapText="1"/>
    </xf>
    <xf numFmtId="0" fontId="21" fillId="2" borderId="1" xfId="0" applyFont="1" applyFill="1" applyBorder="1" applyAlignment="1" applyProtection="1">
      <alignment horizontal="center" vertical="center" wrapText="1"/>
    </xf>
    <xf numFmtId="0" fontId="21" fillId="2" borderId="8" xfId="0" applyFont="1" applyFill="1" applyBorder="1" applyAlignment="1" applyProtection="1">
      <alignment horizontal="center" vertical="center" wrapText="1"/>
    </xf>
    <xf numFmtId="0" fontId="16" fillId="2" borderId="59" xfId="0" applyFont="1" applyFill="1" applyBorder="1" applyAlignment="1" applyProtection="1">
      <alignment horizontal="left" vertical="center" wrapText="1"/>
    </xf>
    <xf numFmtId="0" fontId="16" fillId="2" borderId="56" xfId="0" applyFont="1" applyFill="1" applyBorder="1" applyAlignment="1" applyProtection="1">
      <alignment horizontal="left" vertical="center" wrapText="1"/>
    </xf>
    <xf numFmtId="0" fontId="16" fillId="2" borderId="38" xfId="0" applyFont="1" applyFill="1" applyBorder="1" applyAlignment="1" applyProtection="1">
      <alignment horizontal="justify" vertical="top" wrapText="1"/>
    </xf>
    <xf numFmtId="0" fontId="16" fillId="2" borderId="38" xfId="0" applyFont="1" applyFill="1" applyBorder="1" applyAlignment="1" applyProtection="1">
      <alignment horizontal="justify" vertical="center" wrapText="1"/>
    </xf>
    <xf numFmtId="0" fontId="16" fillId="2" borderId="74" xfId="0" applyFont="1" applyFill="1" applyBorder="1" applyAlignment="1" applyProtection="1">
      <alignment horizontal="left" vertical="top" wrapText="1"/>
    </xf>
    <xf numFmtId="0" fontId="16" fillId="2" borderId="56" xfId="0" applyFont="1" applyFill="1" applyBorder="1" applyAlignment="1" applyProtection="1">
      <alignment horizontal="justify" vertical="top" wrapText="1"/>
    </xf>
    <xf numFmtId="0" fontId="16" fillId="2" borderId="66" xfId="8" applyFont="1" applyFill="1" applyBorder="1" applyAlignment="1" applyProtection="1">
      <alignment horizontal="justify" vertical="top" wrapText="1"/>
    </xf>
    <xf numFmtId="49" fontId="16" fillId="2" borderId="57" xfId="0" applyNumberFormat="1" applyFont="1" applyFill="1" applyBorder="1" applyAlignment="1" applyProtection="1">
      <alignment horizontal="justify" vertical="center" wrapText="1"/>
    </xf>
    <xf numFmtId="0" fontId="16" fillId="2" borderId="71" xfId="0" applyFont="1" applyFill="1" applyBorder="1" applyAlignment="1" applyProtection="1">
      <alignment horizontal="left" vertical="center" wrapText="1"/>
    </xf>
    <xf numFmtId="0" fontId="16" fillId="15" borderId="126" xfId="0" applyFont="1" applyFill="1" applyBorder="1" applyAlignment="1" applyProtection="1">
      <alignment horizontal="justify" vertical="top" wrapText="1"/>
    </xf>
    <xf numFmtId="0" fontId="21" fillId="16" borderId="126" xfId="0" applyFont="1" applyFill="1" applyBorder="1" applyAlignment="1" applyProtection="1">
      <alignment horizontal="center" vertical="center" wrapText="1"/>
    </xf>
    <xf numFmtId="0" fontId="16" fillId="15" borderId="117" xfId="0" applyFont="1" applyFill="1" applyBorder="1" applyAlignment="1" applyProtection="1">
      <alignment horizontal="justify" vertical="center" wrapText="1"/>
    </xf>
    <xf numFmtId="0" fontId="21" fillId="16" borderId="117" xfId="0" applyFont="1" applyFill="1" applyBorder="1" applyAlignment="1" applyProtection="1">
      <alignment horizontal="center" vertical="center" wrapText="1"/>
    </xf>
    <xf numFmtId="0" fontId="16" fillId="15" borderId="117" xfId="0" applyFont="1" applyFill="1" applyBorder="1" applyAlignment="1" applyProtection="1">
      <alignment horizontal="justify" vertical="top" wrapText="1"/>
    </xf>
    <xf numFmtId="0" fontId="16" fillId="15" borderId="118" xfId="0" applyFont="1" applyFill="1" applyBorder="1" applyAlignment="1" applyProtection="1">
      <alignment horizontal="justify" vertical="center" wrapText="1"/>
    </xf>
    <xf numFmtId="0" fontId="21" fillId="16" borderId="118" xfId="0" applyFont="1" applyFill="1" applyBorder="1" applyAlignment="1" applyProtection="1">
      <alignment horizontal="center" vertical="center" wrapText="1"/>
    </xf>
    <xf numFmtId="0" fontId="21" fillId="16" borderId="123" xfId="0" applyFont="1" applyFill="1" applyBorder="1" applyAlignment="1" applyProtection="1">
      <alignment horizontal="center" vertical="center" wrapText="1"/>
    </xf>
    <xf numFmtId="0" fontId="59" fillId="2" borderId="119" xfId="0" applyFont="1" applyFill="1" applyBorder="1" applyAlignment="1">
      <alignment horizontal="center" vertical="center" textRotation="90" wrapText="1"/>
    </xf>
    <xf numFmtId="0" fontId="60" fillId="2" borderId="119" xfId="0" applyFont="1" applyFill="1" applyBorder="1" applyAlignment="1">
      <alignment horizontal="center" vertical="center" textRotation="90" wrapText="1"/>
    </xf>
    <xf numFmtId="0" fontId="57" fillId="2" borderId="121" xfId="0" applyFont="1" applyFill="1" applyBorder="1" applyAlignment="1">
      <alignment horizontal="center" vertical="center"/>
    </xf>
    <xf numFmtId="0" fontId="57" fillId="2" borderId="119" xfId="0" applyFont="1" applyFill="1" applyBorder="1" applyAlignment="1">
      <alignment horizontal="center" vertical="center"/>
    </xf>
    <xf numFmtId="0" fontId="57" fillId="20" borderId="119" xfId="0" applyFont="1" applyFill="1" applyBorder="1" applyAlignment="1">
      <alignment horizontal="center" vertical="center"/>
    </xf>
    <xf numFmtId="0" fontId="57" fillId="2" borderId="119" xfId="0" applyFont="1" applyFill="1" applyBorder="1" applyAlignment="1">
      <alignment horizontal="center" vertical="center" wrapText="1"/>
    </xf>
    <xf numFmtId="0" fontId="57" fillId="2" borderId="120" xfId="0" applyFont="1" applyFill="1" applyBorder="1" applyAlignment="1">
      <alignment vertical="center"/>
    </xf>
    <xf numFmtId="0" fontId="57" fillId="2" borderId="120" xfId="0" applyFont="1" applyFill="1" applyBorder="1" applyAlignment="1">
      <alignment horizontal="center" vertical="center"/>
    </xf>
    <xf numFmtId="0" fontId="53" fillId="22" borderId="85" xfId="0" applyFont="1" applyFill="1" applyBorder="1" applyAlignment="1">
      <alignment horizontal="left" vertical="center" wrapText="1"/>
    </xf>
    <xf numFmtId="0" fontId="57" fillId="2" borderId="119" xfId="0" applyFont="1" applyFill="1" applyBorder="1" applyAlignment="1">
      <alignment vertical="center"/>
    </xf>
    <xf numFmtId="0" fontId="62" fillId="20" borderId="119" xfId="0" applyFont="1" applyFill="1" applyBorder="1"/>
    <xf numFmtId="0" fontId="62" fillId="20" borderId="119" xfId="0" applyFont="1" applyFill="1" applyBorder="1" applyAlignment="1">
      <alignment horizontal="center"/>
    </xf>
    <xf numFmtId="169" fontId="47" fillId="15" borderId="49" xfId="5" applyNumberFormat="1" applyFont="1" applyFill="1" applyBorder="1" applyAlignment="1" applyProtection="1">
      <alignment horizontal="left" vertical="center" wrapText="1"/>
    </xf>
    <xf numFmtId="169" fontId="47" fillId="15" borderId="112" xfId="5" applyNumberFormat="1" applyFont="1" applyFill="1" applyBorder="1" applyAlignment="1" applyProtection="1">
      <alignment horizontal="left" vertical="center" wrapText="1"/>
    </xf>
    <xf numFmtId="169" fontId="47" fillId="15" borderId="107" xfId="5" applyNumberFormat="1" applyFont="1" applyFill="1" applyBorder="1" applyAlignment="1" applyProtection="1">
      <alignment horizontal="left" vertical="center" wrapText="1"/>
    </xf>
    <xf numFmtId="169" fontId="47" fillId="15" borderId="30" xfId="5" applyNumberFormat="1" applyFont="1" applyFill="1" applyBorder="1" applyAlignment="1" applyProtection="1">
      <alignment horizontal="left" vertical="center" wrapText="1"/>
    </xf>
    <xf numFmtId="169" fontId="47" fillId="0" borderId="32" xfId="5" applyNumberFormat="1" applyFont="1" applyFill="1" applyBorder="1" applyAlignment="1" applyProtection="1">
      <alignment horizontal="left" vertical="center" wrapText="1"/>
    </xf>
    <xf numFmtId="169" fontId="47" fillId="15" borderId="112" xfId="5" applyNumberFormat="1" applyFont="1" applyFill="1" applyBorder="1" applyAlignment="1" applyProtection="1">
      <alignment vertical="center" wrapText="1"/>
    </xf>
    <xf numFmtId="169" fontId="47" fillId="15" borderId="30" xfId="5" applyNumberFormat="1" applyFont="1" applyFill="1" applyBorder="1" applyAlignment="1" applyProtection="1">
      <alignment vertical="center" wrapText="1"/>
    </xf>
    <xf numFmtId="169" fontId="47" fillId="15" borderId="50" xfId="5" applyNumberFormat="1" applyFont="1" applyFill="1" applyBorder="1" applyAlignment="1" applyProtection="1">
      <alignment vertical="center" wrapText="1"/>
    </xf>
    <xf numFmtId="169" fontId="47" fillId="18" borderId="49" xfId="5" applyNumberFormat="1" applyFont="1" applyFill="1" applyBorder="1" applyAlignment="1" applyProtection="1">
      <alignment horizontal="left" vertical="center" wrapText="1"/>
    </xf>
    <xf numFmtId="169" fontId="47" fillId="18" borderId="112" xfId="5" applyNumberFormat="1" applyFont="1" applyFill="1" applyBorder="1" applyAlignment="1" applyProtection="1">
      <alignment horizontal="left" vertical="center" wrapText="1"/>
    </xf>
    <xf numFmtId="169" fontId="47" fillId="18" borderId="107" xfId="5" applyNumberFormat="1" applyFont="1" applyFill="1" applyBorder="1" applyAlignment="1" applyProtection="1">
      <alignment horizontal="left" vertical="center" wrapText="1"/>
    </xf>
    <xf numFmtId="169" fontId="49" fillId="0" borderId="6" xfId="5" applyNumberFormat="1" applyFont="1" applyBorder="1" applyAlignment="1">
      <alignment vertical="center" wrapText="1"/>
    </xf>
    <xf numFmtId="169" fontId="49" fillId="0" borderId="102" xfId="5" applyNumberFormat="1" applyFont="1" applyBorder="1" applyAlignment="1">
      <alignment vertical="center" wrapText="1"/>
    </xf>
    <xf numFmtId="169" fontId="49" fillId="0" borderId="107" xfId="5" applyNumberFormat="1" applyFont="1" applyBorder="1" applyAlignment="1">
      <alignment vertical="center" wrapText="1"/>
    </xf>
    <xf numFmtId="169" fontId="47" fillId="15" borderId="6" xfId="5" applyNumberFormat="1" applyFont="1" applyFill="1" applyBorder="1" applyAlignment="1" applyProtection="1">
      <alignment horizontal="left" vertical="center" wrapText="1"/>
    </xf>
    <xf numFmtId="169" fontId="47" fillId="15" borderId="102" xfId="5" applyNumberFormat="1" applyFont="1" applyFill="1" applyBorder="1" applyAlignment="1" applyProtection="1">
      <alignment horizontal="left" vertical="center" wrapText="1"/>
    </xf>
    <xf numFmtId="169" fontId="50" fillId="2" borderId="85" xfId="0" applyNumberFormat="1" applyFont="1" applyFill="1" applyBorder="1" applyAlignment="1" applyProtection="1">
      <alignment horizontal="right" vertical="center" wrapText="1"/>
    </xf>
    <xf numFmtId="169" fontId="47" fillId="18" borderId="30" xfId="5" applyNumberFormat="1" applyFont="1" applyFill="1" applyBorder="1" applyAlignment="1" applyProtection="1">
      <alignment horizontal="center" vertical="center" wrapText="1"/>
    </xf>
    <xf numFmtId="169" fontId="50" fillId="2" borderId="112" xfId="0" applyNumberFormat="1" applyFont="1" applyFill="1" applyBorder="1" applyAlignment="1" applyProtection="1">
      <alignment horizontal="right" vertical="center" wrapText="1"/>
    </xf>
    <xf numFmtId="169" fontId="47" fillId="18" borderId="49" xfId="5" applyNumberFormat="1" applyFont="1" applyFill="1" applyBorder="1" applyAlignment="1" applyProtection="1">
      <alignment horizontal="center" vertical="center" wrapText="1"/>
    </xf>
    <xf numFmtId="169" fontId="47" fillId="18" borderId="50" xfId="5" applyNumberFormat="1" applyFont="1" applyFill="1" applyBorder="1" applyAlignment="1" applyProtection="1">
      <alignment horizontal="center" vertical="center" wrapText="1"/>
    </xf>
    <xf numFmtId="169" fontId="47" fillId="18" borderId="30" xfId="5" applyNumberFormat="1" applyFont="1" applyFill="1" applyBorder="1" applyAlignment="1" applyProtection="1">
      <alignment horizontal="left" vertical="center" wrapText="1"/>
    </xf>
    <xf numFmtId="169" fontId="47" fillId="15" borderId="34" xfId="5" applyNumberFormat="1" applyFont="1" applyFill="1" applyBorder="1" applyAlignment="1" applyProtection="1">
      <alignment horizontal="left" vertical="center" wrapText="1"/>
    </xf>
    <xf numFmtId="169" fontId="47" fillId="15" borderId="85" xfId="5" applyNumberFormat="1" applyFont="1" applyFill="1" applyBorder="1" applyAlignment="1" applyProtection="1">
      <alignment horizontal="left" vertical="center" wrapText="1"/>
    </xf>
    <xf numFmtId="169" fontId="47" fillId="15" borderId="6" xfId="5" applyNumberFormat="1" applyFont="1" applyFill="1" applyBorder="1" applyAlignment="1" applyProtection="1">
      <alignment horizontal="center" vertical="center" wrapText="1"/>
    </xf>
    <xf numFmtId="169" fontId="49" fillId="0" borderId="107" xfId="0" applyNumberFormat="1" applyFont="1" applyBorder="1"/>
    <xf numFmtId="169" fontId="49" fillId="0" borderId="102" xfId="5" applyNumberFormat="1" applyFont="1" applyBorder="1"/>
    <xf numFmtId="169" fontId="49" fillId="0" borderId="102" xfId="5" applyNumberFormat="1" applyFont="1" applyFill="1" applyBorder="1"/>
    <xf numFmtId="169" fontId="49" fillId="0" borderId="107" xfId="5" applyNumberFormat="1" applyFont="1" applyFill="1" applyBorder="1"/>
    <xf numFmtId="169" fontId="49" fillId="0" borderId="6" xfId="5" applyNumberFormat="1" applyFont="1" applyBorder="1"/>
    <xf numFmtId="169" fontId="49" fillId="0" borderId="107" xfId="5" applyNumberFormat="1" applyFont="1" applyBorder="1"/>
    <xf numFmtId="169" fontId="47" fillId="2" borderId="85" xfId="5" applyNumberFormat="1" applyFont="1" applyFill="1" applyBorder="1" applyAlignment="1" applyProtection="1">
      <alignment horizontal="right" vertical="center" wrapText="1"/>
    </xf>
    <xf numFmtId="169" fontId="47" fillId="2" borderId="112" xfId="5" applyNumberFormat="1" applyFont="1" applyFill="1" applyBorder="1" applyAlignment="1" applyProtection="1">
      <alignment horizontal="right" vertical="center" wrapText="1"/>
    </xf>
    <xf numFmtId="169" fontId="47" fillId="2" borderId="6" xfId="5" applyNumberFormat="1" applyFont="1" applyFill="1" applyBorder="1" applyAlignment="1" applyProtection="1">
      <alignment horizontal="right" vertical="center" wrapText="1"/>
    </xf>
    <xf numFmtId="169" fontId="47" fillId="2" borderId="107" xfId="5" applyNumberFormat="1" applyFont="1" applyFill="1" applyBorder="1" applyAlignment="1" applyProtection="1">
      <alignment horizontal="right" vertical="center" wrapText="1"/>
    </xf>
    <xf numFmtId="169" fontId="49" fillId="0" borderId="85" xfId="5" applyNumberFormat="1" applyFont="1" applyBorder="1"/>
    <xf numFmtId="169" fontId="47" fillId="0" borderId="102" xfId="5" applyNumberFormat="1" applyFont="1" applyBorder="1"/>
    <xf numFmtId="169" fontId="47" fillId="0" borderId="112" xfId="5" applyNumberFormat="1" applyFont="1" applyBorder="1"/>
    <xf numFmtId="169" fontId="47" fillId="2" borderId="102" xfId="5" applyNumberFormat="1" applyFont="1" applyFill="1" applyBorder="1" applyAlignment="1" applyProtection="1">
      <alignment horizontal="right" vertical="center" wrapText="1"/>
    </xf>
    <xf numFmtId="0" fontId="39" fillId="0" borderId="0" xfId="0" applyFont="1"/>
    <xf numFmtId="0" fontId="47" fillId="2" borderId="40" xfId="0" applyFont="1" applyFill="1" applyBorder="1" applyAlignment="1" applyProtection="1">
      <alignment horizontal="center" vertical="center" wrapText="1"/>
    </xf>
    <xf numFmtId="0" fontId="71" fillId="2" borderId="26" xfId="0" applyFont="1" applyFill="1" applyBorder="1" applyAlignment="1" applyProtection="1">
      <alignment vertical="top" wrapText="1"/>
    </xf>
    <xf numFmtId="0" fontId="71" fillId="2" borderId="1" xfId="0" applyFont="1" applyFill="1" applyBorder="1" applyAlignment="1" applyProtection="1">
      <alignment horizontal="center" vertical="center" wrapText="1"/>
    </xf>
    <xf numFmtId="0" fontId="71" fillId="2" borderId="20" xfId="0" applyFont="1" applyFill="1" applyBorder="1" applyAlignment="1" applyProtection="1">
      <alignment horizontal="center" vertical="center" wrapText="1"/>
    </xf>
    <xf numFmtId="0" fontId="65" fillId="2" borderId="1" xfId="0" applyFont="1" applyFill="1" applyBorder="1" applyAlignment="1" applyProtection="1">
      <alignment vertical="center" wrapText="1"/>
    </xf>
    <xf numFmtId="0" fontId="65" fillId="2" borderId="33" xfId="0" applyFont="1" applyFill="1" applyBorder="1" applyAlignment="1" applyProtection="1">
      <alignment vertical="center" wrapText="1"/>
    </xf>
    <xf numFmtId="0" fontId="65" fillId="2" borderId="34" xfId="0" applyFont="1" applyFill="1" applyBorder="1" applyAlignment="1" applyProtection="1">
      <alignment vertical="center" wrapText="1"/>
    </xf>
    <xf numFmtId="3" fontId="65" fillId="2" borderId="34" xfId="0" applyNumberFormat="1" applyFont="1" applyFill="1" applyBorder="1" applyAlignment="1" applyProtection="1">
      <alignment vertical="center" wrapText="1"/>
    </xf>
    <xf numFmtId="0" fontId="65" fillId="2" borderId="9" xfId="0" applyFont="1" applyFill="1" applyBorder="1" applyAlignment="1" applyProtection="1">
      <alignment vertical="center" wrapText="1"/>
    </xf>
    <xf numFmtId="0" fontId="65" fillId="2" borderId="18" xfId="0" applyFont="1" applyFill="1" applyBorder="1" applyAlignment="1" applyProtection="1">
      <alignment horizontal="left" vertical="center" wrapText="1"/>
    </xf>
    <xf numFmtId="0" fontId="65" fillId="2" borderId="31" xfId="0" applyFont="1" applyFill="1" applyBorder="1" applyAlignment="1" applyProtection="1">
      <alignment horizontal="left" vertical="center" wrapText="1"/>
    </xf>
    <xf numFmtId="168" fontId="65" fillId="2" borderId="30" xfId="5" applyNumberFormat="1" applyFont="1" applyFill="1" applyBorder="1" applyAlignment="1" applyProtection="1">
      <alignment vertical="center" wrapText="1"/>
    </xf>
    <xf numFmtId="168" fontId="65" fillId="2" borderId="30" xfId="5" applyNumberFormat="1" applyFont="1" applyFill="1" applyBorder="1" applyAlignment="1" applyProtection="1">
      <alignment horizontal="center" vertical="center" wrapText="1"/>
    </xf>
    <xf numFmtId="0" fontId="65" fillId="2" borderId="40" xfId="0" applyFont="1" applyFill="1" applyBorder="1" applyAlignment="1" applyProtection="1">
      <alignment horizontal="left" vertical="center" wrapText="1"/>
    </xf>
    <xf numFmtId="0" fontId="65" fillId="2" borderId="32" xfId="0" applyFont="1" applyFill="1" applyBorder="1" applyAlignment="1" applyProtection="1">
      <alignment horizontal="left" vertical="center" wrapText="1"/>
    </xf>
    <xf numFmtId="168" fontId="65" fillId="2" borderId="6" xfId="5" applyNumberFormat="1" applyFont="1" applyFill="1" applyBorder="1" applyAlignment="1" applyProtection="1">
      <alignment vertical="center" wrapText="1"/>
    </xf>
    <xf numFmtId="0" fontId="65" fillId="2" borderId="106" xfId="0" applyFont="1" applyFill="1" applyBorder="1" applyAlignment="1" applyProtection="1">
      <alignment horizontal="left" vertical="center" wrapText="1"/>
    </xf>
    <xf numFmtId="168" fontId="65" fillId="2" borderId="107" xfId="5" applyNumberFormat="1" applyFont="1" applyFill="1" applyBorder="1" applyAlignment="1" applyProtection="1">
      <alignment vertical="center" wrapText="1"/>
    </xf>
    <xf numFmtId="0" fontId="65" fillId="2" borderId="99" xfId="0" applyFont="1" applyFill="1" applyBorder="1" applyAlignment="1" applyProtection="1">
      <alignment horizontal="left" vertical="center" wrapText="1"/>
    </xf>
    <xf numFmtId="168" fontId="65" fillId="2" borderId="102" xfId="5" applyNumberFormat="1" applyFont="1" applyFill="1" applyBorder="1" applyAlignment="1" applyProtection="1">
      <alignment vertical="center" wrapText="1"/>
    </xf>
    <xf numFmtId="168" fontId="65" fillId="2" borderId="107" xfId="0" applyNumberFormat="1" applyFont="1" applyFill="1" applyBorder="1" applyAlignment="1" applyProtection="1">
      <alignment horizontal="left" vertical="center" wrapText="1"/>
    </xf>
    <xf numFmtId="0" fontId="65" fillId="2" borderId="1" xfId="0" applyFont="1" applyFill="1" applyBorder="1" applyAlignment="1" applyProtection="1">
      <alignment horizontal="left" vertical="center" wrapText="1"/>
    </xf>
    <xf numFmtId="0" fontId="65" fillId="2" borderId="33" xfId="0" applyFont="1" applyFill="1" applyBorder="1" applyAlignment="1" applyProtection="1">
      <alignment horizontal="left" vertical="center" wrapText="1"/>
    </xf>
    <xf numFmtId="168" fontId="65" fillId="2" borderId="34" xfId="0" applyNumberFormat="1" applyFont="1" applyFill="1" applyBorder="1" applyAlignment="1" applyProtection="1">
      <alignment horizontal="right" vertical="center" wrapText="1"/>
    </xf>
    <xf numFmtId="168" fontId="65" fillId="2" borderId="33" xfId="5" applyNumberFormat="1" applyFont="1" applyFill="1" applyBorder="1" applyAlignment="1" applyProtection="1">
      <alignment horizontal="center" vertical="center" wrapText="1"/>
    </xf>
    <xf numFmtId="0" fontId="65" fillId="2" borderId="9" xfId="0" applyFont="1" applyFill="1" applyBorder="1" applyAlignment="1" applyProtection="1">
      <alignment horizontal="left" vertical="center" wrapText="1"/>
    </xf>
    <xf numFmtId="43" fontId="65" fillId="2" borderId="6" xfId="5" applyFont="1" applyFill="1" applyBorder="1" applyAlignment="1" applyProtection="1">
      <alignment vertical="center" wrapText="1"/>
    </xf>
    <xf numFmtId="43" fontId="65" fillId="2" borderId="102" xfId="5" applyFont="1" applyFill="1" applyBorder="1" applyAlignment="1" applyProtection="1">
      <alignment horizontal="left" vertical="center" wrapText="1"/>
    </xf>
    <xf numFmtId="0" fontId="65" fillId="2" borderId="107" xfId="0" applyFont="1" applyFill="1" applyBorder="1" applyAlignment="1" applyProtection="1">
      <alignment horizontal="left" vertical="center" wrapText="1"/>
    </xf>
    <xf numFmtId="0" fontId="65" fillId="2" borderId="32" xfId="0" applyFont="1" applyFill="1" applyBorder="1" applyAlignment="1" applyProtection="1">
      <alignment horizontal="left" vertical="top" wrapText="1"/>
    </xf>
    <xf numFmtId="169" fontId="65" fillId="2" borderId="5" xfId="11" applyNumberFormat="1" applyFont="1" applyFill="1" applyBorder="1" applyAlignment="1" applyProtection="1">
      <alignment vertical="top" wrapText="1"/>
    </xf>
    <xf numFmtId="0" fontId="0" fillId="2" borderId="32" xfId="0" applyFont="1" applyFill="1" applyBorder="1" applyAlignment="1" applyProtection="1">
      <alignment horizontal="left" vertical="center" wrapText="1"/>
    </xf>
    <xf numFmtId="169" fontId="65" fillId="2" borderId="96" xfId="11" applyNumberFormat="1" applyFont="1" applyFill="1" applyBorder="1" applyAlignment="1" applyProtection="1">
      <alignment vertical="top" wrapText="1"/>
    </xf>
    <xf numFmtId="0" fontId="0" fillId="2" borderId="106" xfId="0" applyFont="1" applyFill="1" applyBorder="1" applyAlignment="1" applyProtection="1">
      <alignment horizontal="left" vertical="center" wrapText="1"/>
    </xf>
    <xf numFmtId="169" fontId="65" fillId="2" borderId="98" xfId="11" applyNumberFormat="1" applyFont="1" applyFill="1" applyBorder="1" applyAlignment="1" applyProtection="1">
      <alignment vertical="top" wrapText="1"/>
    </xf>
    <xf numFmtId="0" fontId="65" fillId="2" borderId="4" xfId="0" applyFont="1" applyFill="1" applyBorder="1" applyAlignment="1" applyProtection="1">
      <alignment horizontal="left" vertical="top" wrapText="1"/>
    </xf>
    <xf numFmtId="0" fontId="65" fillId="2" borderId="93" xfId="0" applyFont="1" applyFill="1" applyBorder="1" applyAlignment="1" applyProtection="1">
      <alignment vertical="top" wrapText="1"/>
    </xf>
    <xf numFmtId="0" fontId="65" fillId="2" borderId="103" xfId="0" applyFont="1" applyFill="1" applyBorder="1" applyAlignment="1" applyProtection="1">
      <alignment vertical="top" wrapText="1"/>
    </xf>
    <xf numFmtId="0" fontId="0" fillId="2" borderId="28" xfId="0" applyFont="1" applyFill="1" applyBorder="1" applyAlignment="1" applyProtection="1">
      <alignment horizontal="left" vertical="center" wrapText="1"/>
    </xf>
    <xf numFmtId="169" fontId="0" fillId="2" borderId="2" xfId="11" applyNumberFormat="1" applyFont="1" applyFill="1" applyBorder="1" applyAlignment="1" applyProtection="1">
      <alignment horizontal="center" vertical="center" wrapText="1"/>
    </xf>
    <xf numFmtId="0" fontId="0" fillId="2" borderId="108" xfId="0" applyFont="1" applyFill="1" applyBorder="1" applyAlignment="1" applyProtection="1">
      <alignment horizontal="left" vertical="center" wrapText="1"/>
    </xf>
    <xf numFmtId="169" fontId="0" fillId="2" borderId="109" xfId="11" applyNumberFormat="1" applyFont="1" applyFill="1" applyBorder="1" applyAlignment="1" applyProtection="1">
      <alignment horizontal="center" vertical="center" wrapText="1"/>
    </xf>
    <xf numFmtId="0" fontId="0" fillId="2" borderId="36" xfId="0" applyFont="1" applyFill="1" applyBorder="1" applyAlignment="1" applyProtection="1">
      <alignment horizontal="left" vertical="center" wrapText="1"/>
    </xf>
    <xf numFmtId="169" fontId="0" fillId="2" borderId="110" xfId="11" applyNumberFormat="1" applyFont="1" applyFill="1" applyBorder="1" applyAlignment="1" applyProtection="1">
      <alignment horizontal="center" vertical="center" wrapText="1"/>
    </xf>
    <xf numFmtId="0" fontId="65" fillId="2" borderId="1" xfId="0" applyFont="1" applyFill="1" applyBorder="1" applyAlignment="1" applyProtection="1">
      <alignment horizontal="left" vertical="top" wrapText="1"/>
    </xf>
    <xf numFmtId="0" fontId="65" fillId="2" borderId="23" xfId="0" applyFont="1" applyFill="1" applyBorder="1" applyAlignment="1" applyProtection="1">
      <alignment horizontal="left" vertical="center" wrapText="1"/>
    </xf>
    <xf numFmtId="169" fontId="65" fillId="2" borderId="24" xfId="11" applyNumberFormat="1" applyFont="1" applyFill="1" applyBorder="1" applyAlignment="1" applyProtection="1">
      <alignment horizontal="center" vertical="center" wrapText="1"/>
    </xf>
    <xf numFmtId="169" fontId="65" fillId="2" borderId="12" xfId="11" applyNumberFormat="1" applyFont="1" applyFill="1" applyBorder="1" applyAlignment="1" applyProtection="1">
      <alignment horizontal="center" vertical="center" wrapText="1"/>
    </xf>
    <xf numFmtId="0" fontId="0" fillId="2" borderId="1" xfId="0" applyFont="1" applyFill="1" applyBorder="1" applyAlignment="1" applyProtection="1">
      <alignment horizontal="left" vertical="center" wrapText="1"/>
    </xf>
    <xf numFmtId="0" fontId="0" fillId="2" borderId="4" xfId="0" applyFont="1" applyFill="1" applyBorder="1" applyAlignment="1" applyProtection="1">
      <alignment horizontal="left" vertical="center" wrapText="1"/>
    </xf>
    <xf numFmtId="169" fontId="0" fillId="2" borderId="5" xfId="11" applyNumberFormat="1" applyFont="1" applyFill="1" applyBorder="1" applyAlignment="1" applyProtection="1">
      <alignment horizontal="right" vertical="center" wrapText="1"/>
    </xf>
    <xf numFmtId="0" fontId="0" fillId="2" borderId="39" xfId="0" applyFont="1" applyFill="1" applyBorder="1" applyAlignment="1" applyProtection="1">
      <alignment horizontal="left" vertical="center" wrapText="1"/>
    </xf>
    <xf numFmtId="169" fontId="0" fillId="2" borderId="40" xfId="11" applyNumberFormat="1" applyFont="1" applyFill="1" applyBorder="1" applyAlignment="1" applyProtection="1">
      <alignment horizontal="right" vertical="center" wrapText="1"/>
    </xf>
    <xf numFmtId="0" fontId="0" fillId="2" borderId="103" xfId="0" applyFont="1" applyFill="1" applyBorder="1" applyAlignment="1" applyProtection="1">
      <alignment horizontal="left" vertical="center" wrapText="1"/>
    </xf>
    <xf numFmtId="169" fontId="0" fillId="2" borderId="98" xfId="11" applyNumberFormat="1" applyFont="1" applyFill="1" applyBorder="1" applyAlignment="1" applyProtection="1">
      <alignment horizontal="right" vertical="center" wrapText="1"/>
    </xf>
    <xf numFmtId="169" fontId="0" fillId="2" borderId="25" xfId="11" applyNumberFormat="1" applyFont="1" applyFill="1" applyBorder="1" applyAlignment="1" applyProtection="1">
      <alignment horizontal="center" vertical="center" wrapText="1"/>
    </xf>
    <xf numFmtId="0" fontId="0" fillId="2" borderId="99" xfId="0" applyFont="1" applyFill="1" applyBorder="1" applyAlignment="1" applyProtection="1">
      <alignment horizontal="left" vertical="center" wrapText="1"/>
    </xf>
    <xf numFmtId="169" fontId="0" fillId="2" borderId="100" xfId="11" applyNumberFormat="1" applyFont="1" applyFill="1" applyBorder="1" applyAlignment="1" applyProtection="1">
      <alignment horizontal="center" vertical="center" wrapText="1"/>
    </xf>
    <xf numFmtId="169" fontId="0" fillId="0" borderId="25" xfId="11" applyNumberFormat="1" applyFont="1" applyBorder="1"/>
    <xf numFmtId="0" fontId="0" fillId="0" borderId="99" xfId="0" applyFont="1" applyBorder="1" applyAlignment="1">
      <alignment horizontal="left" wrapText="1"/>
    </xf>
    <xf numFmtId="169" fontId="0" fillId="0" borderId="100" xfId="11" applyNumberFormat="1" applyFont="1" applyBorder="1"/>
    <xf numFmtId="169" fontId="0" fillId="0" borderId="100" xfId="11" applyNumberFormat="1" applyFont="1" applyBorder="1" applyAlignment="1">
      <alignment horizontal="center"/>
    </xf>
    <xf numFmtId="0" fontId="0" fillId="0" borderId="104" xfId="0" applyFont="1" applyBorder="1" applyAlignment="1">
      <alignment horizontal="left" wrapText="1"/>
    </xf>
    <xf numFmtId="169" fontId="0" fillId="0" borderId="101" xfId="11" applyNumberFormat="1" applyFont="1" applyBorder="1"/>
    <xf numFmtId="0" fontId="65" fillId="2" borderId="1" xfId="0" applyFont="1" applyFill="1" applyBorder="1" applyAlignment="1" applyProtection="1">
      <alignment horizontal="left" wrapText="1"/>
    </xf>
    <xf numFmtId="0" fontId="65" fillId="2" borderId="33" xfId="0" applyFont="1" applyFill="1" applyBorder="1" applyAlignment="1" applyProtection="1">
      <alignment horizontal="center" vertical="center" wrapText="1"/>
    </xf>
    <xf numFmtId="169" fontId="65" fillId="2" borderId="34" xfId="11" applyNumberFormat="1" applyFont="1" applyFill="1" applyBorder="1" applyAlignment="1" applyProtection="1">
      <alignment vertical="center" wrapText="1"/>
    </xf>
    <xf numFmtId="0" fontId="65" fillId="2" borderId="9" xfId="0" applyFont="1" applyFill="1" applyBorder="1" applyAlignment="1" applyProtection="1">
      <alignment vertical="top" wrapText="1"/>
    </xf>
    <xf numFmtId="0" fontId="65" fillId="2" borderId="28" xfId="0" applyFont="1" applyFill="1" applyBorder="1" applyAlignment="1" applyProtection="1">
      <alignment horizontal="center" vertical="center" wrapText="1"/>
    </xf>
    <xf numFmtId="169" fontId="65" fillId="2" borderId="2" xfId="0" applyNumberFormat="1" applyFont="1" applyFill="1" applyBorder="1" applyAlignment="1" applyProtection="1">
      <alignment vertical="top" wrapText="1"/>
    </xf>
    <xf numFmtId="0" fontId="65" fillId="2" borderId="108" xfId="0" applyFont="1" applyFill="1" applyBorder="1" applyAlignment="1" applyProtection="1">
      <alignment horizontal="center" vertical="center" wrapText="1"/>
    </xf>
    <xf numFmtId="169" fontId="65" fillId="2" borderId="59" xfId="0" applyNumberFormat="1" applyFont="1" applyFill="1" applyBorder="1" applyAlignment="1" applyProtection="1">
      <alignment vertical="top" wrapText="1"/>
    </xf>
    <xf numFmtId="0" fontId="0" fillId="0" borderId="36" xfId="0" applyFont="1" applyBorder="1" applyAlignment="1">
      <alignment horizontal="center" vertical="center" wrapText="1"/>
    </xf>
    <xf numFmtId="169" fontId="0" fillId="0" borderId="110" xfId="0" applyNumberFormat="1" applyFont="1" applyBorder="1"/>
    <xf numFmtId="0" fontId="65" fillId="2" borderId="6" xfId="0" applyFont="1" applyFill="1" applyBorder="1" applyAlignment="1" applyProtection="1">
      <alignment vertical="top" wrapText="1"/>
    </xf>
    <xf numFmtId="169" fontId="65" fillId="2" borderId="6" xfId="11" applyNumberFormat="1" applyFont="1" applyFill="1" applyBorder="1" applyAlignment="1" applyProtection="1">
      <alignment vertical="top" wrapText="1"/>
    </xf>
    <xf numFmtId="0" fontId="65" fillId="2" borderId="102" xfId="0" applyFont="1" applyFill="1" applyBorder="1" applyAlignment="1" applyProtection="1">
      <alignment vertical="top" wrapText="1"/>
    </xf>
    <xf numFmtId="169" fontId="65" fillId="2" borderId="102" xfId="11" applyNumberFormat="1" applyFont="1" applyFill="1" applyBorder="1" applyAlignment="1" applyProtection="1">
      <alignment vertical="top" wrapText="1"/>
    </xf>
    <xf numFmtId="0" fontId="65" fillId="2" borderId="107" xfId="0" applyFont="1" applyFill="1" applyBorder="1" applyAlignment="1" applyProtection="1">
      <alignment vertical="top" wrapText="1"/>
    </xf>
    <xf numFmtId="169" fontId="65" fillId="2" borderId="107" xfId="11" applyNumberFormat="1" applyFont="1" applyFill="1" applyBorder="1" applyAlignment="1" applyProtection="1">
      <alignment vertical="top" wrapText="1"/>
    </xf>
    <xf numFmtId="0" fontId="65" fillId="15" borderId="19" xfId="0" applyFont="1" applyFill="1" applyBorder="1" applyAlignment="1" applyProtection="1">
      <alignment horizontal="left" vertical="center" wrapText="1"/>
    </xf>
    <xf numFmtId="0" fontId="65" fillId="15" borderId="52" xfId="0" applyFont="1" applyFill="1" applyBorder="1" applyAlignment="1" applyProtection="1">
      <alignment horizontal="left" vertical="center" wrapText="1"/>
    </xf>
    <xf numFmtId="169" fontId="65" fillId="15" borderId="50" xfId="5" applyNumberFormat="1" applyFont="1" applyFill="1" applyBorder="1" applyAlignment="1" applyProtection="1">
      <alignment horizontal="left" vertical="center" wrapText="1"/>
    </xf>
    <xf numFmtId="0" fontId="65" fillId="0" borderId="51" xfId="0" applyFont="1" applyFill="1" applyBorder="1" applyAlignment="1" applyProtection="1">
      <alignment horizontal="center" vertical="center" wrapText="1"/>
    </xf>
    <xf numFmtId="0" fontId="71" fillId="2" borderId="4" xfId="0" applyFont="1" applyFill="1" applyBorder="1" applyAlignment="1" applyProtection="1">
      <alignment horizontal="left" vertical="top" wrapText="1"/>
    </xf>
    <xf numFmtId="0" fontId="71" fillId="2" borderId="6" xfId="0" applyFont="1" applyFill="1" applyBorder="1" applyAlignment="1" applyProtection="1">
      <alignment horizontal="left" vertical="top" wrapText="1"/>
    </xf>
    <xf numFmtId="0" fontId="71" fillId="2" borderId="25" xfId="0" applyFont="1" applyFill="1" applyBorder="1" applyAlignment="1" applyProtection="1">
      <alignment horizontal="left" vertical="top" wrapText="1"/>
    </xf>
    <xf numFmtId="0" fontId="71" fillId="2" borderId="5" xfId="0" applyFont="1" applyFill="1" applyBorder="1" applyAlignment="1" applyProtection="1">
      <alignment horizontal="left" vertical="top" wrapText="1"/>
    </xf>
    <xf numFmtId="0" fontId="65" fillId="15" borderId="93" xfId="0" applyFont="1" applyFill="1" applyBorder="1" applyAlignment="1" applyProtection="1">
      <alignment horizontal="left" vertical="center" wrapText="1"/>
    </xf>
    <xf numFmtId="0" fontId="65" fillId="15" borderId="99" xfId="0" applyFont="1" applyFill="1" applyBorder="1" applyAlignment="1" applyProtection="1">
      <alignment horizontal="left" vertical="center" wrapText="1"/>
    </xf>
    <xf numFmtId="43" fontId="65" fillId="15" borderId="100" xfId="5" applyFont="1" applyFill="1" applyBorder="1" applyAlignment="1" applyProtection="1">
      <alignment horizontal="left" vertical="center" wrapText="1"/>
    </xf>
    <xf numFmtId="16" fontId="65" fillId="15" borderId="101" xfId="0" applyNumberFormat="1" applyFont="1" applyFill="1" applyBorder="1" applyAlignment="1" applyProtection="1">
      <alignment horizontal="left" vertical="center" wrapText="1"/>
    </xf>
    <xf numFmtId="43" fontId="65" fillId="16" borderId="94" xfId="5" applyFont="1" applyFill="1" applyBorder="1" applyAlignment="1" applyProtection="1">
      <alignment horizontal="left" vertical="center" wrapText="1"/>
    </xf>
    <xf numFmtId="0" fontId="65" fillId="16" borderId="93" xfId="0" applyFont="1" applyFill="1" applyBorder="1" applyAlignment="1" applyProtection="1">
      <alignment horizontal="left" vertical="center" wrapText="1"/>
    </xf>
    <xf numFmtId="0" fontId="65" fillId="16" borderId="102" xfId="0" applyFont="1" applyFill="1" applyBorder="1" applyAlignment="1" applyProtection="1">
      <alignment horizontal="left" vertical="center" wrapText="1"/>
    </xf>
    <xf numFmtId="43" fontId="65" fillId="16" borderId="100" xfId="5" applyFont="1" applyFill="1" applyBorder="1" applyAlignment="1" applyProtection="1">
      <alignment horizontal="left" vertical="center" wrapText="1"/>
    </xf>
    <xf numFmtId="167" fontId="65" fillId="16" borderId="100" xfId="0" applyNumberFormat="1" applyFont="1" applyFill="1" applyBorder="1" applyAlignment="1" applyProtection="1">
      <alignment horizontal="left" vertical="center" wrapText="1"/>
    </xf>
    <xf numFmtId="164" fontId="65" fillId="2" borderId="102" xfId="11" applyFont="1" applyFill="1" applyBorder="1" applyAlignment="1" applyProtection="1">
      <alignment vertical="center" wrapText="1"/>
    </xf>
    <xf numFmtId="164" fontId="65" fillId="16" borderId="100" xfId="11" applyFont="1" applyFill="1" applyBorder="1" applyAlignment="1" applyProtection="1">
      <alignment horizontal="left" vertical="center" wrapText="1"/>
    </xf>
    <xf numFmtId="0" fontId="65" fillId="18" borderId="93" xfId="0" applyFont="1" applyFill="1" applyBorder="1" applyAlignment="1" applyProtection="1">
      <alignment horizontal="left" vertical="center" wrapText="1"/>
    </xf>
    <xf numFmtId="0" fontId="65" fillId="2" borderId="104" xfId="0" applyFont="1" applyFill="1" applyBorder="1" applyAlignment="1" applyProtection="1">
      <alignment vertical="top" wrapText="1"/>
    </xf>
    <xf numFmtId="43" fontId="65" fillId="16" borderId="101" xfId="5" applyFont="1" applyFill="1" applyBorder="1" applyAlignment="1" applyProtection="1">
      <alignment horizontal="left" vertical="center" wrapText="1"/>
    </xf>
    <xf numFmtId="167" fontId="65" fillId="16" borderId="101" xfId="0" applyNumberFormat="1" applyFont="1" applyFill="1" applyBorder="1" applyAlignment="1" applyProtection="1">
      <alignment horizontal="left" vertical="center" wrapText="1"/>
    </xf>
    <xf numFmtId="0" fontId="10" fillId="2" borderId="1" xfId="0" applyFont="1" applyFill="1" applyBorder="1" applyAlignment="1">
      <alignment horizontal="justify" vertical="center" wrapText="1"/>
    </xf>
    <xf numFmtId="0" fontId="16" fillId="2" borderId="70" xfId="0" applyFont="1" applyFill="1" applyBorder="1" applyAlignment="1" applyProtection="1">
      <alignment horizontal="justify" vertical="center" wrapText="1"/>
    </xf>
    <xf numFmtId="0" fontId="16" fillId="2" borderId="72" xfId="0" applyFont="1" applyFill="1" applyBorder="1" applyAlignment="1" applyProtection="1">
      <alignment horizontal="justify" vertical="center" wrapText="1"/>
    </xf>
    <xf numFmtId="0" fontId="10" fillId="0" borderId="0" xfId="0" applyFont="1" applyAlignment="1">
      <alignment vertical="center"/>
    </xf>
    <xf numFmtId="0" fontId="10" fillId="0" borderId="0" xfId="0" applyFont="1" applyAlignment="1">
      <alignment wrapText="1"/>
    </xf>
    <xf numFmtId="0" fontId="14" fillId="0" borderId="0" xfId="0" applyFont="1"/>
    <xf numFmtId="0" fontId="14" fillId="0" borderId="0" xfId="0" applyFont="1" applyAlignment="1">
      <alignment wrapText="1"/>
    </xf>
    <xf numFmtId="0" fontId="10" fillId="2" borderId="0" xfId="0" applyFont="1" applyFill="1" applyBorder="1"/>
    <xf numFmtId="43" fontId="10" fillId="0" borderId="0" xfId="5" applyFont="1" applyAlignment="1">
      <alignment wrapText="1"/>
    </xf>
    <xf numFmtId="0" fontId="74" fillId="0" borderId="0" xfId="0" applyFont="1" applyAlignment="1">
      <alignment vertical="center"/>
    </xf>
    <xf numFmtId="0" fontId="14" fillId="0" borderId="0" xfId="0" applyFont="1" applyAlignment="1">
      <alignment horizontal="right" wrapText="1"/>
    </xf>
    <xf numFmtId="0" fontId="74" fillId="0" borderId="0" xfId="0" applyFont="1" applyAlignment="1">
      <alignment vertical="center" wrapText="1"/>
    </xf>
    <xf numFmtId="17" fontId="10" fillId="0" borderId="0" xfId="0" applyNumberFormat="1" applyFont="1" applyAlignment="1">
      <alignment vertical="center"/>
    </xf>
    <xf numFmtId="0" fontId="10" fillId="0" borderId="0" xfId="0" applyFont="1" applyAlignment="1">
      <alignment vertical="center" wrapText="1"/>
    </xf>
    <xf numFmtId="164" fontId="10" fillId="0" borderId="0" xfId="0" applyNumberFormat="1" applyFont="1" applyAlignment="1">
      <alignment vertical="center"/>
    </xf>
    <xf numFmtId="0" fontId="10" fillId="17" borderId="17" xfId="0" applyFont="1" applyFill="1" applyBorder="1" applyAlignment="1">
      <alignment vertical="center"/>
    </xf>
    <xf numFmtId="0" fontId="10" fillId="24" borderId="16" xfId="0" applyFont="1" applyFill="1" applyBorder="1" applyAlignment="1">
      <alignment vertical="center"/>
    </xf>
    <xf numFmtId="17" fontId="10" fillId="24" borderId="16" xfId="0" applyNumberFormat="1" applyFont="1" applyFill="1" applyBorder="1" applyAlignment="1">
      <alignment vertical="center"/>
    </xf>
    <xf numFmtId="0" fontId="10" fillId="24" borderId="16" xfId="0" applyFont="1" applyFill="1" applyBorder="1" applyAlignment="1">
      <alignment vertical="center" wrapText="1"/>
    </xf>
    <xf numFmtId="164" fontId="10" fillId="24" borderId="16" xfId="0" applyNumberFormat="1" applyFont="1" applyFill="1" applyBorder="1" applyAlignment="1">
      <alignment vertical="center"/>
    </xf>
    <xf numFmtId="0" fontId="10" fillId="25" borderId="15" xfId="0" applyFont="1" applyFill="1" applyBorder="1" applyAlignment="1">
      <alignment vertical="center"/>
    </xf>
    <xf numFmtId="0" fontId="10" fillId="17" borderId="14" xfId="0" applyFont="1" applyFill="1" applyBorder="1" applyAlignment="1">
      <alignment vertical="center"/>
    </xf>
    <xf numFmtId="0" fontId="11" fillId="0" borderId="0" xfId="0" applyFont="1" applyAlignment="1">
      <alignment horizontal="center" vertical="center"/>
    </xf>
    <xf numFmtId="0" fontId="10" fillId="17" borderId="13" xfId="0" applyFont="1" applyFill="1" applyBorder="1" applyAlignment="1">
      <alignment vertical="center"/>
    </xf>
    <xf numFmtId="17" fontId="10" fillId="0" borderId="102" xfId="0" applyNumberFormat="1" applyFont="1" applyBorder="1" applyAlignment="1">
      <alignment vertical="center"/>
    </xf>
    <xf numFmtId="0" fontId="11" fillId="0" borderId="102" xfId="0" applyFont="1" applyBorder="1" applyAlignment="1">
      <alignment horizontal="center" vertical="center"/>
    </xf>
    <xf numFmtId="0" fontId="10" fillId="0" borderId="102" xfId="0" applyFont="1" applyBorder="1" applyAlignment="1">
      <alignment vertical="center"/>
    </xf>
    <xf numFmtId="0" fontId="74" fillId="17" borderId="14" xfId="0" applyFont="1" applyFill="1" applyBorder="1" applyAlignment="1">
      <alignment vertical="center"/>
    </xf>
    <xf numFmtId="0" fontId="10" fillId="0" borderId="102" xfId="0" applyFont="1" applyBorder="1" applyAlignment="1">
      <alignment vertical="center" wrapText="1"/>
    </xf>
    <xf numFmtId="0" fontId="11" fillId="0" borderId="102" xfId="0" applyFont="1" applyBorder="1" applyAlignment="1">
      <alignment horizontal="center" vertical="center" wrapText="1"/>
    </xf>
    <xf numFmtId="0" fontId="10" fillId="0" borderId="102" xfId="0" applyFont="1" applyFill="1" applyBorder="1" applyAlignment="1">
      <alignment vertical="center" wrapText="1"/>
    </xf>
    <xf numFmtId="0" fontId="11" fillId="17" borderId="14" xfId="0" applyFont="1" applyFill="1" applyBorder="1" applyAlignment="1">
      <alignment horizontal="center" vertical="center"/>
    </xf>
    <xf numFmtId="0" fontId="11" fillId="17" borderId="13" xfId="0" applyFont="1" applyFill="1" applyBorder="1" applyAlignment="1">
      <alignment horizontal="center" vertical="center"/>
    </xf>
    <xf numFmtId="0" fontId="75" fillId="0" borderId="102" xfId="0" applyFont="1" applyBorder="1" applyAlignment="1">
      <alignment horizontal="center" vertical="center" wrapText="1"/>
    </xf>
    <xf numFmtId="0" fontId="73" fillId="0" borderId="102" xfId="0" applyFont="1" applyBorder="1" applyAlignment="1">
      <alignment horizontal="center" vertical="center" wrapText="1"/>
    </xf>
    <xf numFmtId="0" fontId="10" fillId="17" borderId="14" xfId="0" applyFont="1" applyFill="1" applyBorder="1"/>
    <xf numFmtId="0" fontId="10" fillId="17" borderId="0" xfId="0" applyFont="1" applyFill="1" applyBorder="1"/>
    <xf numFmtId="0" fontId="76" fillId="17" borderId="0" xfId="0" applyFont="1" applyFill="1" applyBorder="1"/>
    <xf numFmtId="0" fontId="3" fillId="17" borderId="0" xfId="0" applyFont="1" applyFill="1" applyBorder="1" applyAlignment="1">
      <alignment horizontal="center"/>
    </xf>
    <xf numFmtId="0" fontId="10" fillId="17" borderId="0" xfId="0" applyFont="1" applyFill="1" applyBorder="1" applyAlignment="1">
      <alignment horizontal="center"/>
    </xf>
    <xf numFmtId="0" fontId="10" fillId="17" borderId="0" xfId="0" applyFont="1" applyFill="1" applyBorder="1" applyAlignment="1">
      <alignment wrapText="1"/>
    </xf>
    <xf numFmtId="168" fontId="10" fillId="17" borderId="0" xfId="5" applyNumberFormat="1" applyFont="1" applyFill="1" applyBorder="1" applyAlignment="1">
      <alignment horizontal="center"/>
    </xf>
    <xf numFmtId="0" fontId="10" fillId="17" borderId="13" xfId="0" applyFont="1" applyFill="1" applyBorder="1"/>
    <xf numFmtId="0" fontId="10" fillId="17" borderId="12" xfId="0" applyFont="1" applyFill="1" applyBorder="1"/>
    <xf numFmtId="0" fontId="10" fillId="17" borderId="11" xfId="0" applyFont="1" applyFill="1" applyBorder="1"/>
    <xf numFmtId="0" fontId="76" fillId="17" borderId="11" xfId="0" applyFont="1" applyFill="1" applyBorder="1"/>
    <xf numFmtId="0" fontId="3" fillId="17" borderId="11" xfId="0" applyFont="1" applyFill="1" applyBorder="1" applyAlignment="1">
      <alignment horizontal="center"/>
    </xf>
    <xf numFmtId="0" fontId="10" fillId="17" borderId="11" xfId="0" applyFont="1" applyFill="1" applyBorder="1" applyAlignment="1">
      <alignment horizontal="center"/>
    </xf>
    <xf numFmtId="0" fontId="10" fillId="17" borderId="11" xfId="0" applyFont="1" applyFill="1" applyBorder="1" applyAlignment="1">
      <alignment wrapText="1"/>
    </xf>
    <xf numFmtId="168" fontId="10" fillId="17" borderId="11" xfId="5" applyNumberFormat="1" applyFont="1" applyFill="1" applyBorder="1" applyAlignment="1">
      <alignment horizontal="center"/>
    </xf>
    <xf numFmtId="0" fontId="10" fillId="17" borderId="10" xfId="0" applyFont="1" applyFill="1" applyBorder="1"/>
    <xf numFmtId="0" fontId="73" fillId="0" borderId="0" xfId="0" applyFont="1"/>
    <xf numFmtId="0" fontId="14" fillId="26" borderId="0" xfId="0" applyFont="1" applyFill="1"/>
    <xf numFmtId="0" fontId="77" fillId="0" borderId="0" xfId="0" applyFont="1"/>
    <xf numFmtId="0" fontId="10" fillId="23" borderId="102" xfId="5" applyNumberFormat="1" applyFont="1" applyFill="1" applyBorder="1" applyAlignment="1">
      <alignment vertical="center" wrapText="1"/>
    </xf>
    <xf numFmtId="164" fontId="10" fillId="0" borderId="102" xfId="0" applyNumberFormat="1" applyFont="1" applyBorder="1" applyAlignment="1">
      <alignment vertical="center"/>
    </xf>
    <xf numFmtId="0" fontId="10" fillId="2" borderId="102" xfId="0" applyFont="1" applyFill="1" applyBorder="1" applyAlignment="1">
      <alignment vertical="center" wrapText="1"/>
    </xf>
    <xf numFmtId="164" fontId="39" fillId="0" borderId="102" xfId="0" applyNumberFormat="1" applyFont="1" applyBorder="1" applyAlignment="1">
      <alignment vertical="center"/>
    </xf>
    <xf numFmtId="0" fontId="78" fillId="0" borderId="102" xfId="0" applyFont="1" applyBorder="1" applyAlignment="1">
      <alignment horizontal="center" vertical="center" wrapText="1"/>
    </xf>
    <xf numFmtId="0" fontId="80" fillId="0" borderId="0" xfId="0" applyNumberFormat="1" applyFont="1" applyAlignment="1">
      <alignment horizontal="center" vertical="center" wrapText="1"/>
    </xf>
    <xf numFmtId="2" fontId="81" fillId="28" borderId="102" xfId="0" applyNumberFormat="1" applyFont="1" applyFill="1" applyBorder="1" applyAlignment="1">
      <alignment horizontal="center" vertical="center" wrapText="1"/>
    </xf>
    <xf numFmtId="49" fontId="81" fillId="28" borderId="102" xfId="0" applyNumberFormat="1" applyFont="1" applyFill="1" applyBorder="1" applyAlignment="1">
      <alignment horizontal="center" vertical="center" wrapText="1"/>
    </xf>
    <xf numFmtId="49" fontId="81" fillId="28" borderId="102" xfId="0" applyNumberFormat="1" applyFont="1" applyFill="1" applyBorder="1" applyAlignment="1">
      <alignment horizontal="left" vertical="center" wrapText="1"/>
    </xf>
    <xf numFmtId="0" fontId="80" fillId="0" borderId="0" xfId="0" applyNumberFormat="1" applyFont="1" applyBorder="1" applyAlignment="1">
      <alignment horizontal="center" vertical="center" wrapText="1"/>
    </xf>
    <xf numFmtId="2" fontId="3" fillId="0" borderId="102" xfId="0" applyNumberFormat="1" applyFont="1" applyFill="1" applyBorder="1" applyAlignment="1">
      <alignment horizontal="center" vertical="center" wrapText="1"/>
    </xf>
    <xf numFmtId="14" fontId="82" fillId="0" borderId="102" xfId="0" applyNumberFormat="1" applyFont="1" applyBorder="1" applyAlignment="1">
      <alignment horizontal="center" vertical="center" wrapText="1"/>
    </xf>
    <xf numFmtId="14" fontId="82" fillId="2" borderId="102" xfId="0" applyNumberFormat="1" applyFont="1" applyFill="1" applyBorder="1" applyAlignment="1">
      <alignment horizontal="left" vertical="center" wrapText="1"/>
    </xf>
    <xf numFmtId="1" fontId="3" fillId="0" borderId="102" xfId="0" applyNumberFormat="1" applyFont="1" applyFill="1" applyBorder="1" applyAlignment="1">
      <alignment horizontal="center" vertical="center" wrapText="1"/>
    </xf>
    <xf numFmtId="0" fontId="82" fillId="0" borderId="102" xfId="0" applyNumberFormat="1" applyFont="1" applyFill="1" applyBorder="1" applyAlignment="1">
      <alignment horizontal="center" vertical="center" wrapText="1"/>
    </xf>
    <xf numFmtId="0" fontId="82" fillId="0" borderId="102" xfId="0" applyNumberFormat="1" applyFont="1" applyBorder="1" applyAlignment="1">
      <alignment horizontal="center" vertical="center" wrapText="1"/>
    </xf>
    <xf numFmtId="49" fontId="81" fillId="2" borderId="102" xfId="0" applyNumberFormat="1" applyFont="1" applyFill="1" applyBorder="1" applyAlignment="1">
      <alignment horizontal="center" vertical="center" wrapText="1"/>
    </xf>
    <xf numFmtId="14" fontId="3" fillId="2" borderId="102" xfId="0" applyNumberFormat="1" applyFont="1" applyFill="1" applyBorder="1" applyAlignment="1">
      <alignment horizontal="left" vertical="center" wrapText="1"/>
    </xf>
    <xf numFmtId="0" fontId="82" fillId="2" borderId="102" xfId="0" applyNumberFormat="1" applyFont="1" applyFill="1" applyBorder="1" applyAlignment="1">
      <alignment horizontal="left" vertical="center" wrapText="1"/>
    </xf>
    <xf numFmtId="0" fontId="3" fillId="0" borderId="102" xfId="0" applyNumberFormat="1" applyFont="1" applyFill="1" applyBorder="1" applyAlignment="1">
      <alignment horizontal="center" vertical="center" wrapText="1"/>
    </xf>
    <xf numFmtId="0" fontId="82" fillId="0" borderId="129" xfId="0" applyFont="1" applyBorder="1" applyAlignment="1">
      <alignment horizontal="left" vertical="center" wrapText="1"/>
    </xf>
    <xf numFmtId="0" fontId="3" fillId="0" borderId="129" xfId="0" applyFont="1" applyBorder="1" applyAlignment="1">
      <alignment horizontal="left" vertical="center" wrapText="1"/>
    </xf>
    <xf numFmtId="0" fontId="82" fillId="0" borderId="102" xfId="0" applyNumberFormat="1" applyFont="1" applyBorder="1" applyAlignment="1">
      <alignment horizontal="left" vertical="center" wrapText="1"/>
    </xf>
    <xf numFmtId="2" fontId="80" fillId="0" borderId="0" xfId="0" applyNumberFormat="1" applyFont="1" applyAlignment="1">
      <alignment horizontal="center" vertical="center" wrapText="1"/>
    </xf>
    <xf numFmtId="0" fontId="80" fillId="0" borderId="0" xfId="0" applyNumberFormat="1" applyFont="1" applyFill="1" applyAlignment="1">
      <alignment horizontal="left" vertical="center" wrapText="1"/>
    </xf>
    <xf numFmtId="0" fontId="80" fillId="0" borderId="0" xfId="0" applyNumberFormat="1" applyFont="1" applyAlignment="1">
      <alignment horizontal="justify" vertical="top" wrapText="1"/>
    </xf>
    <xf numFmtId="0" fontId="80" fillId="0" borderId="0" xfId="0" applyFont="1" applyAlignment="1">
      <alignment horizontal="center" vertical="center" wrapText="1"/>
    </xf>
    <xf numFmtId="0" fontId="83" fillId="0" borderId="0" xfId="0" applyFont="1" applyBorder="1" applyAlignment="1">
      <alignment horizontal="left" vertical="center"/>
    </xf>
    <xf numFmtId="0" fontId="83" fillId="0" borderId="102" xfId="0" applyFont="1" applyBorder="1" applyAlignment="1">
      <alignment horizontal="left" vertical="center" wrapText="1"/>
    </xf>
    <xf numFmtId="0" fontId="84" fillId="0" borderId="102" xfId="0" applyFont="1" applyBorder="1" applyAlignment="1">
      <alignment horizontal="left" vertical="center"/>
    </xf>
    <xf numFmtId="0" fontId="83" fillId="0" borderId="102" xfId="0" applyFont="1" applyBorder="1" applyAlignment="1">
      <alignment horizontal="left" vertical="center"/>
    </xf>
    <xf numFmtId="14" fontId="83" fillId="0" borderId="102" xfId="0" applyNumberFormat="1" applyFont="1" applyBorder="1" applyAlignment="1">
      <alignment horizontal="left" vertical="center"/>
    </xf>
    <xf numFmtId="0" fontId="83" fillId="0" borderId="102" xfId="0" applyFont="1" applyFill="1" applyBorder="1" applyAlignment="1">
      <alignment horizontal="center" vertical="center"/>
    </xf>
    <xf numFmtId="0" fontId="83" fillId="0" borderId="102" xfId="0" applyFont="1" applyBorder="1" applyAlignment="1">
      <alignment horizontal="center" vertical="center"/>
    </xf>
    <xf numFmtId="49" fontId="82" fillId="2" borderId="102" xfId="0" applyNumberFormat="1" applyFont="1" applyFill="1" applyBorder="1" applyAlignment="1">
      <alignment horizontal="left" vertical="center" wrapText="1"/>
    </xf>
    <xf numFmtId="49" fontId="85" fillId="28" borderId="102" xfId="0" applyNumberFormat="1" applyFont="1" applyFill="1" applyBorder="1" applyAlignment="1">
      <alignment horizontal="center" vertical="top" wrapText="1"/>
    </xf>
    <xf numFmtId="2" fontId="85" fillId="28" borderId="102" xfId="0" applyNumberFormat="1" applyFont="1" applyFill="1" applyBorder="1" applyAlignment="1">
      <alignment horizontal="center" vertical="top" wrapText="1"/>
    </xf>
    <xf numFmtId="0" fontId="80" fillId="0" borderId="0" xfId="0" applyNumberFormat="1" applyFont="1" applyBorder="1" applyAlignment="1">
      <alignment horizontal="center" vertical="top" wrapText="1"/>
    </xf>
    <xf numFmtId="14" fontId="82" fillId="0" borderId="102" xfId="0" applyNumberFormat="1" applyFont="1" applyBorder="1" applyAlignment="1">
      <alignment horizontal="left" vertical="center" wrapText="1"/>
    </xf>
    <xf numFmtId="0" fontId="0" fillId="17" borderId="17" xfId="0" applyFont="1" applyFill="1" applyBorder="1" applyAlignment="1" applyProtection="1">
      <alignment vertical="top" wrapText="1"/>
    </xf>
    <xf numFmtId="0" fontId="0" fillId="17" borderId="16" xfId="0" applyFont="1" applyFill="1" applyBorder="1" applyAlignment="1" applyProtection="1">
      <alignment vertical="top" wrapText="1"/>
    </xf>
    <xf numFmtId="0" fontId="0" fillId="17" borderId="15" xfId="0" applyFont="1" applyFill="1" applyBorder="1" applyAlignment="1" applyProtection="1">
      <alignment vertical="top" wrapText="1"/>
    </xf>
    <xf numFmtId="0" fontId="87" fillId="17" borderId="14" xfId="0" applyFont="1" applyFill="1" applyBorder="1" applyAlignment="1" applyProtection="1">
      <alignment vertical="top" wrapText="1"/>
    </xf>
    <xf numFmtId="0" fontId="87" fillId="17" borderId="13" xfId="0" applyFont="1" applyFill="1" applyBorder="1" applyAlignment="1" applyProtection="1">
      <alignment vertical="top" wrapText="1"/>
    </xf>
    <xf numFmtId="0" fontId="87" fillId="17" borderId="0" xfId="0" applyFont="1" applyFill="1" applyBorder="1" applyAlignment="1" applyProtection="1">
      <alignment vertical="top" wrapText="1"/>
    </xf>
    <xf numFmtId="9" fontId="16" fillId="18" borderId="111" xfId="6" applyFont="1" applyFill="1" applyBorder="1" applyAlignment="1" applyProtection="1">
      <alignment horizontal="center" vertical="center" wrapText="1"/>
    </xf>
    <xf numFmtId="0" fontId="16" fillId="18" borderId="111" xfId="5" applyNumberFormat="1" applyFont="1" applyFill="1" applyBorder="1" applyAlignment="1" applyProtection="1">
      <alignment vertical="top" wrapText="1"/>
    </xf>
    <xf numFmtId="43" fontId="21" fillId="18" borderId="111" xfId="5" applyFont="1" applyFill="1" applyBorder="1" applyAlignment="1" applyProtection="1">
      <alignment vertical="top" wrapText="1"/>
    </xf>
    <xf numFmtId="0" fontId="16" fillId="18" borderId="111" xfId="0" applyFont="1" applyFill="1" applyBorder="1" applyAlignment="1" applyProtection="1">
      <alignment vertical="top" wrapText="1"/>
    </xf>
    <xf numFmtId="0" fontId="70" fillId="0" borderId="0" xfId="0" applyFont="1"/>
    <xf numFmtId="9" fontId="10" fillId="15" borderId="131" xfId="6" applyFont="1" applyFill="1" applyBorder="1" applyAlignment="1" applyProtection="1">
      <alignment horizontal="center" vertical="center" wrapText="1"/>
    </xf>
    <xf numFmtId="10" fontId="10" fillId="0" borderId="102" xfId="0" applyNumberFormat="1" applyFont="1" applyFill="1" applyBorder="1" applyAlignment="1">
      <alignment horizontal="left" vertical="center" wrapText="1"/>
    </xf>
    <xf numFmtId="43" fontId="10" fillId="15" borderId="131" xfId="5" applyFont="1" applyFill="1" applyBorder="1" applyAlignment="1" applyProtection="1">
      <alignment vertical="center" wrapText="1"/>
    </xf>
    <xf numFmtId="43" fontId="10" fillId="15" borderId="109" xfId="5" applyFont="1" applyFill="1" applyBorder="1" applyAlignment="1" applyProtection="1">
      <alignment vertical="center" wrapText="1"/>
    </xf>
    <xf numFmtId="0" fontId="10" fillId="15" borderId="109" xfId="0" applyFont="1" applyFill="1" applyBorder="1" applyAlignment="1" applyProtection="1">
      <alignment vertical="center" wrapText="1"/>
    </xf>
    <xf numFmtId="0" fontId="88" fillId="15" borderId="1" xfId="0" applyFont="1" applyFill="1" applyBorder="1" applyAlignment="1" applyProtection="1">
      <alignment horizontal="center" vertical="top" wrapText="1"/>
    </xf>
    <xf numFmtId="0" fontId="0" fillId="17" borderId="13" xfId="0" applyFill="1" applyBorder="1"/>
    <xf numFmtId="0" fontId="0" fillId="17" borderId="12" xfId="0" applyFill="1" applyBorder="1"/>
    <xf numFmtId="0" fontId="0" fillId="17" borderId="11" xfId="0" applyFill="1" applyBorder="1"/>
    <xf numFmtId="0" fontId="0" fillId="17" borderId="10" xfId="0" applyFill="1" applyBorder="1"/>
    <xf numFmtId="3" fontId="91" fillId="0" borderId="0" xfId="0" applyNumberFormat="1" applyFont="1" applyAlignment="1">
      <alignment horizontal="center" vertical="center"/>
    </xf>
    <xf numFmtId="0" fontId="92" fillId="0" borderId="0" xfId="0" applyFont="1"/>
    <xf numFmtId="0" fontId="93" fillId="0" borderId="0" xfId="0" applyFont="1" applyFill="1"/>
    <xf numFmtId="0" fontId="93" fillId="0" borderId="0" xfId="0" applyFont="1" applyFill="1" applyAlignment="1">
      <alignment horizontal="center" vertical="center"/>
    </xf>
    <xf numFmtId="0" fontId="94" fillId="0" borderId="0" xfId="0" applyFont="1" applyFill="1" applyAlignment="1">
      <alignment horizontal="center" vertical="center"/>
    </xf>
    <xf numFmtId="170" fontId="93" fillId="0" borderId="0" xfId="0" applyNumberFormat="1" applyFont="1" applyFill="1"/>
    <xf numFmtId="171" fontId="0" fillId="0" borderId="0" xfId="0" applyNumberFormat="1"/>
    <xf numFmtId="3" fontId="91" fillId="29" borderId="102" xfId="0" applyNumberFormat="1" applyFont="1" applyFill="1" applyBorder="1" applyAlignment="1">
      <alignment horizontal="center" vertical="center" wrapText="1"/>
    </xf>
    <xf numFmtId="171" fontId="92" fillId="0" borderId="0" xfId="0" applyNumberFormat="1" applyFont="1"/>
    <xf numFmtId="171" fontId="95" fillId="30" borderId="102" xfId="0" applyNumberFormat="1" applyFont="1" applyFill="1" applyBorder="1" applyAlignment="1">
      <alignment horizontal="right" vertical="center"/>
    </xf>
    <xf numFmtId="171" fontId="95" fillId="30" borderId="0" xfId="0" applyNumberFormat="1" applyFont="1" applyFill="1"/>
    <xf numFmtId="171" fontId="96" fillId="31" borderId="102" xfId="0" applyNumberFormat="1" applyFont="1" applyFill="1" applyBorder="1" applyAlignment="1">
      <alignment horizontal="right" vertical="center"/>
    </xf>
    <xf numFmtId="171" fontId="93" fillId="32" borderId="102" xfId="0" applyNumberFormat="1" applyFont="1" applyFill="1" applyBorder="1" applyAlignment="1">
      <alignment horizontal="right" vertical="center"/>
    </xf>
    <xf numFmtId="171" fontId="93" fillId="23" borderId="102" xfId="0" applyNumberFormat="1" applyFont="1" applyFill="1" applyBorder="1" applyAlignment="1">
      <alignment horizontal="right" vertical="center"/>
    </xf>
    <xf numFmtId="171" fontId="93" fillId="0" borderId="102" xfId="0" applyNumberFormat="1" applyFont="1" applyFill="1" applyBorder="1" applyAlignment="1">
      <alignment horizontal="right" vertical="center"/>
    </xf>
    <xf numFmtId="171" fontId="93" fillId="0" borderId="102" xfId="0" applyNumberFormat="1" applyFont="1" applyFill="1" applyBorder="1" applyAlignment="1">
      <alignment horizontal="right" vertical="center" wrapText="1"/>
    </xf>
    <xf numFmtId="171" fontId="93" fillId="2" borderId="102" xfId="0" applyNumberFormat="1" applyFont="1" applyFill="1" applyBorder="1" applyAlignment="1">
      <alignment horizontal="right" vertical="center"/>
    </xf>
    <xf numFmtId="171" fontId="93" fillId="32" borderId="102" xfId="0" applyNumberFormat="1" applyFont="1" applyFill="1" applyBorder="1" applyAlignment="1">
      <alignment horizontal="right" vertical="center" wrapText="1"/>
    </xf>
    <xf numFmtId="171" fontId="93" fillId="0" borderId="0" xfId="0" applyNumberFormat="1" applyFont="1" applyFill="1" applyAlignment="1">
      <alignment horizontal="center" vertical="center" wrapText="1"/>
    </xf>
    <xf numFmtId="10" fontId="95" fillId="30" borderId="102" xfId="0" applyNumberFormat="1" applyFont="1" applyFill="1" applyBorder="1" applyAlignment="1">
      <alignment horizontal="right" vertical="center"/>
    </xf>
    <xf numFmtId="0" fontId="95" fillId="30" borderId="0" xfId="0" applyFont="1" applyFill="1"/>
    <xf numFmtId="170" fontId="95" fillId="30" borderId="102" xfId="0" applyNumberFormat="1" applyFont="1" applyFill="1" applyBorder="1" applyAlignment="1">
      <alignment horizontal="right" vertical="center"/>
    </xf>
    <xf numFmtId="170" fontId="96" fillId="31" borderId="102" xfId="0" applyNumberFormat="1" applyFont="1" applyFill="1" applyBorder="1" applyAlignment="1">
      <alignment horizontal="right" vertical="center"/>
    </xf>
    <xf numFmtId="170" fontId="93" fillId="32" borderId="102" xfId="0" applyNumberFormat="1" applyFont="1" applyFill="1" applyBorder="1" applyAlignment="1">
      <alignment horizontal="right" vertical="center"/>
    </xf>
    <xf numFmtId="170" fontId="93" fillId="23" borderId="102" xfId="0" applyNumberFormat="1" applyFont="1" applyFill="1" applyBorder="1" applyAlignment="1">
      <alignment horizontal="right" vertical="center"/>
    </xf>
    <xf numFmtId="170" fontId="93" fillId="0" borderId="102" xfId="0" applyNumberFormat="1" applyFont="1" applyFill="1" applyBorder="1" applyAlignment="1">
      <alignment horizontal="right" vertical="center"/>
    </xf>
    <xf numFmtId="170" fontId="93" fillId="0" borderId="102" xfId="0" applyNumberFormat="1" applyFont="1" applyFill="1" applyBorder="1" applyAlignment="1">
      <alignment horizontal="right" vertical="center" wrapText="1"/>
    </xf>
    <xf numFmtId="170" fontId="93" fillId="2" borderId="102" xfId="0" applyNumberFormat="1" applyFont="1" applyFill="1" applyBorder="1" applyAlignment="1">
      <alignment horizontal="right" vertical="center"/>
    </xf>
    <xf numFmtId="170" fontId="93" fillId="32" borderId="102" xfId="0" applyNumberFormat="1" applyFont="1" applyFill="1" applyBorder="1" applyAlignment="1">
      <alignment horizontal="right" vertical="center" wrapText="1"/>
    </xf>
    <xf numFmtId="0" fontId="93" fillId="0" borderId="0" xfId="0" applyFont="1" applyFill="1" applyAlignment="1">
      <alignment horizontal="center" vertical="center" wrapText="1"/>
    </xf>
    <xf numFmtId="10" fontId="93" fillId="0" borderId="0" xfId="0" applyNumberFormat="1" applyFont="1" applyFill="1" applyAlignment="1">
      <alignment horizontal="right" vertical="center" wrapText="1"/>
    </xf>
    <xf numFmtId="10" fontId="93" fillId="0" borderId="0" xfId="0" applyNumberFormat="1" applyFont="1" applyFill="1" applyAlignment="1">
      <alignment horizontal="right" wrapText="1"/>
    </xf>
    <xf numFmtId="4" fontId="93" fillId="0" borderId="0" xfId="0" applyNumberFormat="1" applyFont="1" applyFill="1" applyAlignment="1">
      <alignment horizontal="right" wrapText="1"/>
    </xf>
    <xf numFmtId="0" fontId="97" fillId="0" borderId="0" xfId="0" applyFont="1"/>
    <xf numFmtId="4" fontId="93" fillId="0" borderId="0" xfId="0" applyNumberFormat="1" applyFont="1" applyFill="1" applyAlignment="1">
      <alignment horizontal="right" vertical="center" wrapText="1"/>
    </xf>
    <xf numFmtId="4" fontId="93" fillId="0" borderId="0" xfId="0" applyNumberFormat="1" applyFont="1" applyFill="1" applyAlignment="1">
      <alignment horizontal="center" vertical="center"/>
    </xf>
    <xf numFmtId="4" fontId="93" fillId="0" borderId="0" xfId="0" applyNumberFormat="1" applyFont="1" applyFill="1" applyAlignment="1">
      <alignment horizontal="center" vertical="center" wrapText="1"/>
    </xf>
    <xf numFmtId="9" fontId="91" fillId="29" borderId="102" xfId="0" applyNumberFormat="1" applyFont="1" applyFill="1" applyBorder="1" applyAlignment="1">
      <alignment horizontal="center" vertical="center" wrapText="1"/>
    </xf>
    <xf numFmtId="171" fontId="94" fillId="0" borderId="0" xfId="0" applyNumberFormat="1" applyFont="1"/>
    <xf numFmtId="171" fontId="98" fillId="31" borderId="102" xfId="0" applyNumberFormat="1" applyFont="1" applyFill="1" applyBorder="1" applyAlignment="1">
      <alignment horizontal="right" vertical="center"/>
    </xf>
    <xf numFmtId="171" fontId="94" fillId="32" borderId="102" xfId="0" applyNumberFormat="1" applyFont="1" applyFill="1" applyBorder="1" applyAlignment="1">
      <alignment horizontal="right" vertical="center"/>
    </xf>
    <xf numFmtId="171" fontId="94" fillId="23" borderId="102" xfId="0" applyNumberFormat="1" applyFont="1" applyFill="1" applyBorder="1" applyAlignment="1">
      <alignment horizontal="right" vertical="center"/>
    </xf>
    <xf numFmtId="171" fontId="94" fillId="0" borderId="102" xfId="0" applyNumberFormat="1" applyFont="1" applyFill="1" applyBorder="1" applyAlignment="1">
      <alignment horizontal="right" vertical="center"/>
    </xf>
    <xf numFmtId="171" fontId="94" fillId="0" borderId="102" xfId="0" applyNumberFormat="1" applyFont="1" applyFill="1" applyBorder="1" applyAlignment="1">
      <alignment horizontal="right" vertical="center" wrapText="1"/>
    </xf>
    <xf numFmtId="171" fontId="94" fillId="2" borderId="102" xfId="0" applyNumberFormat="1" applyFont="1" applyFill="1" applyBorder="1" applyAlignment="1">
      <alignment horizontal="right" vertical="center"/>
    </xf>
    <xf numFmtId="171" fontId="94" fillId="32" borderId="102" xfId="0" applyNumberFormat="1" applyFont="1" applyFill="1" applyBorder="1" applyAlignment="1">
      <alignment horizontal="right" vertical="center" wrapText="1"/>
    </xf>
    <xf numFmtId="172" fontId="0" fillId="0" borderId="0" xfId="0" applyNumberFormat="1"/>
    <xf numFmtId="172" fontId="91" fillId="29" borderId="102" xfId="0" applyNumberFormat="1" applyFont="1" applyFill="1" applyBorder="1" applyAlignment="1">
      <alignment horizontal="center" vertical="center" wrapText="1"/>
    </xf>
    <xf numFmtId="172" fontId="94" fillId="0" borderId="0" xfId="0" applyNumberFormat="1" applyFont="1"/>
    <xf numFmtId="172" fontId="95" fillId="30" borderId="102" xfId="0" applyNumberFormat="1" applyFont="1" applyFill="1" applyBorder="1" applyAlignment="1">
      <alignment horizontal="right" vertical="center"/>
    </xf>
    <xf numFmtId="172" fontId="95" fillId="30" borderId="0" xfId="0" applyNumberFormat="1" applyFont="1" applyFill="1"/>
    <xf numFmtId="172" fontId="98" fillId="31" borderId="102" xfId="0" applyNumberFormat="1" applyFont="1" applyFill="1" applyBorder="1" applyAlignment="1">
      <alignment horizontal="right" vertical="center"/>
    </xf>
    <xf numFmtId="172" fontId="94" fillId="32" borderId="102" xfId="0" applyNumberFormat="1" applyFont="1" applyFill="1" applyBorder="1" applyAlignment="1">
      <alignment horizontal="right" vertical="center"/>
    </xf>
    <xf numFmtId="172" fontId="94" fillId="23" borderId="102" xfId="0" applyNumberFormat="1" applyFont="1" applyFill="1" applyBorder="1" applyAlignment="1">
      <alignment horizontal="right" vertical="center"/>
    </xf>
    <xf numFmtId="172" fontId="94" fillId="0" borderId="102" xfId="0" applyNumberFormat="1" applyFont="1" applyFill="1" applyBorder="1" applyAlignment="1">
      <alignment horizontal="right" vertical="center"/>
    </xf>
    <xf numFmtId="172" fontId="94" fillId="0" borderId="102" xfId="0" applyNumberFormat="1" applyFont="1" applyFill="1" applyBorder="1" applyAlignment="1">
      <alignment horizontal="right" vertical="center" wrapText="1"/>
    </xf>
    <xf numFmtId="172" fontId="94" fillId="2" borderId="102" xfId="0" applyNumberFormat="1" applyFont="1" applyFill="1" applyBorder="1" applyAlignment="1">
      <alignment horizontal="right" vertical="center"/>
    </xf>
    <xf numFmtId="172" fontId="94" fillId="32" borderId="102" xfId="0" applyNumberFormat="1" applyFont="1" applyFill="1" applyBorder="1" applyAlignment="1">
      <alignment horizontal="right" vertical="center" wrapText="1"/>
    </xf>
    <xf numFmtId="3" fontId="94" fillId="0" borderId="0" xfId="0" applyNumberFormat="1" applyFont="1"/>
    <xf numFmtId="0" fontId="94" fillId="0" borderId="0" xfId="0" applyFont="1"/>
    <xf numFmtId="0" fontId="72" fillId="0" borderId="0" xfId="0" applyFont="1"/>
    <xf numFmtId="0" fontId="95" fillId="0" borderId="0" xfId="0" applyFont="1"/>
    <xf numFmtId="10" fontId="95" fillId="0" borderId="102" xfId="0" applyNumberFormat="1" applyFont="1" applyFill="1" applyBorder="1" applyAlignment="1">
      <alignment horizontal="center" vertical="center"/>
    </xf>
    <xf numFmtId="10" fontId="95" fillId="0" borderId="0" xfId="0" applyNumberFormat="1" applyFont="1" applyAlignment="1">
      <alignment horizontal="center"/>
    </xf>
    <xf numFmtId="10" fontId="95" fillId="0" borderId="102" xfId="0" applyNumberFormat="1" applyFont="1" applyBorder="1" applyAlignment="1">
      <alignment horizontal="center" vertical="center"/>
    </xf>
    <xf numFmtId="10" fontId="95" fillId="32" borderId="102" xfId="0" applyNumberFormat="1" applyFont="1" applyFill="1" applyBorder="1" applyAlignment="1">
      <alignment horizontal="center" vertical="center"/>
    </xf>
    <xf numFmtId="10" fontId="95" fillId="23" borderId="102" xfId="0" applyNumberFormat="1" applyFont="1" applyFill="1" applyBorder="1" applyAlignment="1">
      <alignment horizontal="center" vertical="center"/>
    </xf>
    <xf numFmtId="10" fontId="95" fillId="0" borderId="102" xfId="0" applyNumberFormat="1" applyFont="1" applyFill="1" applyBorder="1" applyAlignment="1">
      <alignment horizontal="center" vertical="center" wrapText="1"/>
    </xf>
    <xf numFmtId="10" fontId="95" fillId="2" borderId="102" xfId="0" applyNumberFormat="1" applyFont="1" applyFill="1" applyBorder="1" applyAlignment="1">
      <alignment horizontal="center" vertical="center"/>
    </xf>
    <xf numFmtId="10" fontId="95" fillId="32" borderId="102" xfId="0" applyNumberFormat="1" applyFont="1" applyFill="1" applyBorder="1" applyAlignment="1">
      <alignment horizontal="center" vertical="center" wrapText="1"/>
    </xf>
    <xf numFmtId="3" fontId="100" fillId="29" borderId="102" xfId="0" applyNumberFormat="1" applyFont="1" applyFill="1" applyBorder="1" applyAlignment="1">
      <alignment horizontal="center" vertical="center" wrapText="1"/>
    </xf>
    <xf numFmtId="10" fontId="95" fillId="0" borderId="102" xfId="0" applyNumberFormat="1" applyFont="1" applyFill="1" applyBorder="1" applyAlignment="1">
      <alignment horizontal="right" vertical="center"/>
    </xf>
    <xf numFmtId="4" fontId="95" fillId="0" borderId="102" xfId="0" applyNumberFormat="1" applyFont="1" applyBorder="1" applyAlignment="1">
      <alignment horizontal="right" vertical="center"/>
    </xf>
    <xf numFmtId="170" fontId="95" fillId="0" borderId="102" xfId="0" applyNumberFormat="1" applyFont="1" applyFill="1" applyBorder="1" applyAlignment="1">
      <alignment horizontal="right" vertical="center"/>
    </xf>
    <xf numFmtId="170" fontId="95" fillId="32" borderId="102" xfId="0" applyNumberFormat="1" applyFont="1" applyFill="1" applyBorder="1" applyAlignment="1">
      <alignment horizontal="right" vertical="center"/>
    </xf>
    <xf numFmtId="170" fontId="95" fillId="23" borderId="102" xfId="0" applyNumberFormat="1" applyFont="1" applyFill="1" applyBorder="1" applyAlignment="1">
      <alignment horizontal="right" vertical="center"/>
    </xf>
    <xf numFmtId="170" fontId="95" fillId="0" borderId="102" xfId="0" applyNumberFormat="1" applyFont="1" applyFill="1" applyBorder="1" applyAlignment="1">
      <alignment horizontal="right" vertical="center" wrapText="1"/>
    </xf>
    <xf numFmtId="170" fontId="95" fillId="2" borderId="102" xfId="0" applyNumberFormat="1" applyFont="1" applyFill="1" applyBorder="1" applyAlignment="1">
      <alignment horizontal="right" vertical="center"/>
    </xf>
    <xf numFmtId="170" fontId="95" fillId="32" borderId="102" xfId="0" applyNumberFormat="1" applyFont="1" applyFill="1" applyBorder="1" applyAlignment="1">
      <alignment horizontal="right" vertical="center" wrapText="1"/>
    </xf>
    <xf numFmtId="3" fontId="91" fillId="0" borderId="102" xfId="0" applyNumberFormat="1" applyFont="1" applyBorder="1" applyAlignment="1">
      <alignment horizontal="center" vertical="center"/>
    </xf>
    <xf numFmtId="3" fontId="101" fillId="0" borderId="102" xfId="0" applyNumberFormat="1" applyFont="1" applyBorder="1" applyAlignment="1">
      <alignment horizontal="center" vertical="center"/>
    </xf>
    <xf numFmtId="0" fontId="102" fillId="0" borderId="0" xfId="0" applyFont="1"/>
    <xf numFmtId="10" fontId="102" fillId="0" borderId="102" xfId="0" applyNumberFormat="1" applyFont="1" applyFill="1" applyBorder="1" applyAlignment="1">
      <alignment horizontal="right" vertical="center"/>
    </xf>
    <xf numFmtId="4" fontId="102" fillId="0" borderId="102" xfId="0" applyNumberFormat="1" applyFont="1" applyBorder="1" applyAlignment="1">
      <alignment horizontal="right" vertical="center"/>
    </xf>
    <xf numFmtId="170" fontId="102" fillId="0" borderId="102" xfId="0" applyNumberFormat="1" applyFont="1" applyFill="1" applyBorder="1" applyAlignment="1">
      <alignment horizontal="right" vertical="center"/>
    </xf>
    <xf numFmtId="170" fontId="102" fillId="32" borderId="102" xfId="0" applyNumberFormat="1" applyFont="1" applyFill="1" applyBorder="1" applyAlignment="1">
      <alignment horizontal="right" vertical="center"/>
    </xf>
    <xf numFmtId="170" fontId="102" fillId="23" borderId="102" xfId="0" applyNumberFormat="1" applyFont="1" applyFill="1" applyBorder="1" applyAlignment="1">
      <alignment horizontal="right" vertical="center"/>
    </xf>
    <xf numFmtId="170" fontId="102" fillId="0" borderId="102" xfId="0" applyNumberFormat="1" applyFont="1" applyFill="1" applyBorder="1" applyAlignment="1">
      <alignment horizontal="right" vertical="center" wrapText="1"/>
    </xf>
    <xf numFmtId="170" fontId="102" fillId="2" borderId="102" xfId="0" applyNumberFormat="1" applyFont="1" applyFill="1" applyBorder="1" applyAlignment="1">
      <alignment horizontal="right" vertical="center"/>
    </xf>
    <xf numFmtId="172" fontId="102" fillId="32" borderId="102" xfId="0" applyNumberFormat="1" applyFont="1" applyFill="1" applyBorder="1" applyAlignment="1">
      <alignment horizontal="right" vertical="center" wrapText="1"/>
    </xf>
    <xf numFmtId="172" fontId="102" fillId="0" borderId="102" xfId="0" applyNumberFormat="1" applyFont="1" applyFill="1" applyBorder="1" applyAlignment="1">
      <alignment horizontal="right" vertical="center" wrapText="1"/>
    </xf>
    <xf numFmtId="0" fontId="93" fillId="0" borderId="102" xfId="0" applyFont="1" applyFill="1" applyBorder="1" applyAlignment="1">
      <alignment horizontal="center" vertical="center" wrapText="1"/>
    </xf>
    <xf numFmtId="0" fontId="94" fillId="0" borderId="102" xfId="0" applyFont="1" applyFill="1" applyBorder="1" applyAlignment="1">
      <alignment horizontal="center" vertical="center" wrapText="1"/>
    </xf>
    <xf numFmtId="0" fontId="91" fillId="0" borderId="102" xfId="0" applyFont="1" applyFill="1" applyBorder="1" applyAlignment="1">
      <alignment horizontal="center" vertical="center" wrapText="1"/>
    </xf>
    <xf numFmtId="0" fontId="94" fillId="0" borderId="102" xfId="0" applyFont="1" applyFill="1" applyBorder="1" applyAlignment="1">
      <alignment horizontal="center" vertical="center"/>
    </xf>
    <xf numFmtId="170" fontId="102" fillId="32" borderId="102" xfId="0" applyNumberFormat="1" applyFont="1" applyFill="1" applyBorder="1" applyAlignment="1">
      <alignment horizontal="right" vertical="center" wrapText="1"/>
    </xf>
    <xf numFmtId="170" fontId="102" fillId="2" borderId="102" xfId="0" applyNumberFormat="1" applyFont="1" applyFill="1" applyBorder="1" applyAlignment="1">
      <alignment horizontal="right" vertical="center" wrapText="1"/>
    </xf>
    <xf numFmtId="170" fontId="101" fillId="0" borderId="102" xfId="0" applyNumberFormat="1" applyFont="1" applyFill="1" applyBorder="1" applyAlignment="1">
      <alignment horizontal="right" vertical="center" wrapText="1"/>
    </xf>
    <xf numFmtId="170" fontId="103" fillId="0" borderId="102" xfId="0" applyNumberFormat="1" applyFont="1" applyFill="1" applyBorder="1" applyAlignment="1">
      <alignment horizontal="right" vertical="center" wrapText="1"/>
    </xf>
    <xf numFmtId="0" fontId="94" fillId="0" borderId="112" xfId="0" applyFont="1" applyFill="1" applyBorder="1" applyAlignment="1">
      <alignment horizontal="center" vertical="center" wrapText="1"/>
    </xf>
    <xf numFmtId="3" fontId="101" fillId="2" borderId="102" xfId="0" applyNumberFormat="1" applyFont="1" applyFill="1" applyBorder="1" applyAlignment="1">
      <alignment horizontal="center" vertical="center"/>
    </xf>
    <xf numFmtId="170" fontId="94" fillId="0" borderId="102" xfId="0" applyNumberFormat="1" applyFont="1" applyFill="1" applyBorder="1" applyAlignment="1">
      <alignment horizontal="right" vertical="center"/>
    </xf>
    <xf numFmtId="0" fontId="72" fillId="0" borderId="0" xfId="0" applyFont="1" applyFill="1"/>
    <xf numFmtId="0" fontId="95" fillId="29" borderId="0" xfId="0" applyFont="1" applyFill="1"/>
    <xf numFmtId="10" fontId="95" fillId="29" borderId="102" xfId="0" applyNumberFormat="1" applyFont="1" applyFill="1" applyBorder="1" applyAlignment="1">
      <alignment horizontal="center" vertical="center"/>
    </xf>
    <xf numFmtId="170" fontId="95" fillId="29" borderId="0" xfId="0" applyNumberFormat="1" applyFont="1" applyFill="1" applyAlignment="1">
      <alignment horizontal="center"/>
    </xf>
    <xf numFmtId="170" fontId="95" fillId="29" borderId="102" xfId="0" applyNumberFormat="1" applyFont="1" applyFill="1" applyBorder="1" applyAlignment="1">
      <alignment horizontal="center" vertical="center"/>
    </xf>
    <xf numFmtId="0" fontId="102" fillId="0" borderId="0" xfId="0" applyFont="1" applyFill="1"/>
    <xf numFmtId="4" fontId="102" fillId="0" borderId="102" xfId="0" applyNumberFormat="1" applyFont="1" applyFill="1" applyBorder="1" applyAlignment="1">
      <alignment horizontal="right" vertical="center"/>
    </xf>
    <xf numFmtId="170" fontId="102" fillId="0" borderId="99" xfId="0" applyNumberFormat="1" applyFont="1" applyFill="1" applyBorder="1" applyAlignment="1">
      <alignment horizontal="right" vertical="center"/>
    </xf>
    <xf numFmtId="170" fontId="102" fillId="0" borderId="102" xfId="0" applyNumberFormat="1" applyFont="1" applyFill="1" applyBorder="1" applyAlignment="1">
      <alignment horizontal="center" vertical="center"/>
    </xf>
    <xf numFmtId="0" fontId="0" fillId="0" borderId="0" xfId="0" applyFill="1"/>
    <xf numFmtId="17" fontId="93" fillId="0" borderId="102" xfId="0" applyNumberFormat="1" applyFont="1" applyFill="1" applyBorder="1" applyAlignment="1">
      <alignment horizontal="center" vertical="center" wrapText="1"/>
    </xf>
    <xf numFmtId="170" fontId="102" fillId="2" borderId="99" xfId="0" applyNumberFormat="1" applyFont="1" applyFill="1" applyBorder="1" applyAlignment="1">
      <alignment horizontal="right" vertical="center" wrapText="1"/>
    </xf>
    <xf numFmtId="10" fontId="102" fillId="0" borderId="133" xfId="0" applyNumberFormat="1" applyFont="1" applyFill="1" applyBorder="1" applyAlignment="1">
      <alignment horizontal="right" vertical="center"/>
    </xf>
    <xf numFmtId="4" fontId="102" fillId="0" borderId="133" xfId="0" applyNumberFormat="1" applyFont="1" applyBorder="1" applyAlignment="1">
      <alignment horizontal="right" vertical="center"/>
    </xf>
    <xf numFmtId="170" fontId="102" fillId="0" borderId="133" xfId="0" applyNumberFormat="1" applyFont="1" applyFill="1" applyBorder="1" applyAlignment="1">
      <alignment horizontal="right" vertical="center"/>
    </xf>
    <xf numFmtId="0" fontId="94" fillId="0" borderId="112" xfId="0" applyFont="1" applyFill="1" applyBorder="1" applyAlignment="1">
      <alignment horizontal="center" vertical="center"/>
    </xf>
    <xf numFmtId="170" fontId="104" fillId="0" borderId="102" xfId="0" applyNumberFormat="1" applyFont="1" applyFill="1" applyBorder="1" applyAlignment="1">
      <alignment horizontal="right" vertical="center" wrapText="1"/>
    </xf>
    <xf numFmtId="0" fontId="23" fillId="0" borderId="0" xfId="0" applyFont="1"/>
    <xf numFmtId="3" fontId="100" fillId="0" borderId="102" xfId="0" applyNumberFormat="1" applyFont="1" applyBorder="1" applyAlignment="1">
      <alignment horizontal="center" vertical="center" wrapText="1"/>
    </xf>
    <xf numFmtId="0" fontId="100" fillId="0" borderId="102" xfId="0" applyFont="1" applyFill="1" applyBorder="1" applyAlignment="1">
      <alignment horizontal="center" vertical="center" wrapText="1"/>
    </xf>
    <xf numFmtId="0" fontId="91" fillId="0" borderId="102" xfId="0" applyFont="1" applyBorder="1"/>
    <xf numFmtId="0" fontId="91" fillId="0" borderId="102" xfId="0" applyFont="1" applyBorder="1" applyAlignment="1">
      <alignment vertical="center" wrapText="1"/>
    </xf>
    <xf numFmtId="0" fontId="94" fillId="32" borderId="102" xfId="0" applyFont="1" applyFill="1" applyBorder="1" applyAlignment="1">
      <alignment horizontal="center" vertical="center" wrapText="1"/>
    </xf>
    <xf numFmtId="0" fontId="94" fillId="2" borderId="102" xfId="0" applyFont="1" applyFill="1" applyBorder="1" applyAlignment="1">
      <alignment horizontal="center" vertical="center" wrapText="1"/>
    </xf>
    <xf numFmtId="0" fontId="94" fillId="2" borderId="133" xfId="0" applyFont="1" applyFill="1" applyBorder="1" applyAlignment="1">
      <alignment horizontal="center" vertical="center" wrapText="1"/>
    </xf>
    <xf numFmtId="0" fontId="94" fillId="23" borderId="102" xfId="0" applyFont="1" applyFill="1" applyBorder="1" applyAlignment="1">
      <alignment horizontal="center" vertical="center" wrapText="1"/>
    </xf>
    <xf numFmtId="0" fontId="94" fillId="23" borderId="133" xfId="0" applyFont="1" applyFill="1" applyBorder="1" applyAlignment="1">
      <alignment horizontal="center" vertical="center" wrapText="1"/>
    </xf>
    <xf numFmtId="0" fontId="91" fillId="32" borderId="133" xfId="0" applyFont="1" applyFill="1" applyBorder="1" applyAlignment="1">
      <alignment horizontal="center" vertical="center" wrapText="1"/>
    </xf>
    <xf numFmtId="0" fontId="91" fillId="23" borderId="133" xfId="0" applyFont="1" applyFill="1" applyBorder="1" applyAlignment="1">
      <alignment horizontal="center" vertical="center" wrapText="1"/>
    </xf>
    <xf numFmtId="0" fontId="91" fillId="0" borderId="133" xfId="0" applyFont="1" applyFill="1" applyBorder="1" applyAlignment="1">
      <alignment horizontal="center" vertical="center" wrapText="1"/>
    </xf>
    <xf numFmtId="0" fontId="95" fillId="0" borderId="102" xfId="0" applyFont="1" applyFill="1" applyBorder="1" applyAlignment="1">
      <alignment horizontal="center" vertical="center"/>
    </xf>
    <xf numFmtId="0" fontId="105" fillId="31" borderId="79" xfId="0" applyFont="1" applyFill="1" applyBorder="1" applyAlignment="1">
      <alignment horizontal="center" vertical="center"/>
    </xf>
    <xf numFmtId="0" fontId="105" fillId="31" borderId="79" xfId="0" applyFont="1" applyFill="1" applyBorder="1" applyAlignment="1">
      <alignment vertical="center"/>
    </xf>
    <xf numFmtId="0" fontId="105" fillId="31" borderId="135" xfId="0" applyFont="1" applyFill="1" applyBorder="1" applyAlignment="1">
      <alignment vertical="center"/>
    </xf>
    <xf numFmtId="0" fontId="105" fillId="31" borderId="137" xfId="0" applyFont="1" applyFill="1" applyBorder="1" applyAlignment="1">
      <alignment vertical="center"/>
    </xf>
    <xf numFmtId="0" fontId="105" fillId="31" borderId="136" xfId="0" applyFont="1" applyFill="1" applyBorder="1" applyAlignment="1">
      <alignment vertical="center"/>
    </xf>
    <xf numFmtId="0" fontId="0" fillId="0" borderId="0" xfId="0" applyFont="1" applyAlignment="1">
      <alignment vertical="center"/>
    </xf>
    <xf numFmtId="0" fontId="0" fillId="0" borderId="133" xfId="0" applyFont="1" applyBorder="1" applyAlignment="1">
      <alignment horizontal="center" vertical="center"/>
    </xf>
    <xf numFmtId="0" fontId="0" fillId="0" borderId="96" xfId="0" applyFont="1" applyBorder="1" applyAlignment="1">
      <alignment horizontal="center" vertical="center"/>
    </xf>
    <xf numFmtId="0" fontId="0" fillId="0" borderId="107" xfId="0" applyFont="1" applyBorder="1" applyAlignment="1">
      <alignment vertical="center"/>
    </xf>
    <xf numFmtId="0" fontId="0" fillId="0" borderId="107" xfId="0" applyFont="1" applyBorder="1" applyAlignment="1">
      <alignment horizontal="center" vertical="center"/>
    </xf>
    <xf numFmtId="0" fontId="0" fillId="2" borderId="107" xfId="0" applyFont="1" applyFill="1" applyBorder="1" applyAlignment="1">
      <alignment vertical="center"/>
    </xf>
    <xf numFmtId="0" fontId="0" fillId="2" borderId="107" xfId="0" applyFont="1" applyFill="1" applyBorder="1" applyAlignment="1">
      <alignment horizontal="center" vertical="center" wrapText="1"/>
    </xf>
    <xf numFmtId="0" fontId="0" fillId="0" borderId="102" xfId="0" applyFont="1" applyBorder="1" applyAlignment="1">
      <alignment vertical="center"/>
    </xf>
    <xf numFmtId="0" fontId="0" fillId="0" borderId="102" xfId="0" applyFont="1" applyBorder="1" applyAlignment="1">
      <alignment horizontal="center" vertical="center"/>
    </xf>
    <xf numFmtId="0" fontId="0" fillId="2" borderId="102" xfId="0" applyFont="1" applyFill="1" applyBorder="1" applyAlignment="1">
      <alignment vertical="center"/>
    </xf>
    <xf numFmtId="0" fontId="0" fillId="2" borderId="102" xfId="0" applyFont="1" applyFill="1" applyBorder="1" applyAlignment="1">
      <alignment horizontal="center" vertical="center" wrapText="1"/>
    </xf>
    <xf numFmtId="0" fontId="0" fillId="0" borderId="102" xfId="0" applyFont="1" applyBorder="1" applyAlignment="1">
      <alignment vertical="center" wrapText="1"/>
    </xf>
    <xf numFmtId="0" fontId="21" fillId="15" borderId="7" xfId="0" applyFont="1" applyFill="1" applyBorder="1" applyAlignment="1" applyProtection="1">
      <alignment vertical="top" wrapText="1"/>
    </xf>
    <xf numFmtId="0" fontId="21" fillId="15" borderId="7" xfId="0" applyFont="1" applyFill="1" applyBorder="1" applyAlignment="1" applyProtection="1">
      <alignment horizontal="center" vertical="top" wrapText="1"/>
    </xf>
    <xf numFmtId="0" fontId="16" fillId="15" borderId="102" xfId="0" applyFont="1" applyFill="1" applyBorder="1" applyAlignment="1" applyProtection="1">
      <alignment vertical="top" wrapText="1"/>
    </xf>
    <xf numFmtId="0" fontId="16" fillId="15" borderId="102" xfId="0" applyFont="1" applyFill="1" applyBorder="1" applyAlignment="1" applyProtection="1">
      <alignment horizontal="center" vertical="center" wrapText="1"/>
    </xf>
    <xf numFmtId="17" fontId="16" fillId="15" borderId="102" xfId="0" quotePrefix="1" applyNumberFormat="1" applyFont="1" applyFill="1" applyBorder="1" applyAlignment="1" applyProtection="1">
      <alignment horizontal="center" vertical="center" wrapText="1"/>
    </xf>
    <xf numFmtId="0" fontId="16" fillId="15" borderId="102" xfId="0" quotePrefix="1" applyFont="1" applyFill="1" applyBorder="1" applyAlignment="1" applyProtection="1">
      <alignment horizontal="center" vertical="center" wrapText="1"/>
    </xf>
    <xf numFmtId="0" fontId="16" fillId="16" borderId="102" xfId="0" applyFont="1" applyFill="1" applyBorder="1" applyAlignment="1" applyProtection="1">
      <alignment vertical="top" wrapText="1"/>
    </xf>
    <xf numFmtId="0" fontId="16" fillId="16" borderId="102" xfId="0" applyFont="1" applyFill="1" applyBorder="1" applyAlignment="1" applyProtection="1">
      <alignment horizontal="center" vertical="center" wrapText="1"/>
    </xf>
    <xf numFmtId="0" fontId="16" fillId="18" borderId="102" xfId="0" applyFont="1" applyFill="1" applyBorder="1" applyAlignment="1" applyProtection="1">
      <alignment vertical="top" wrapText="1"/>
    </xf>
    <xf numFmtId="0" fontId="16" fillId="18" borderId="102" xfId="0" applyFont="1" applyFill="1" applyBorder="1" applyAlignment="1" applyProtection="1">
      <alignment horizontal="center" vertical="center" wrapText="1"/>
    </xf>
    <xf numFmtId="0" fontId="10" fillId="18" borderId="102" xfId="0" applyFont="1" applyFill="1" applyBorder="1" applyAlignment="1" applyProtection="1">
      <alignment horizontal="left" vertical="top" wrapText="1"/>
    </xf>
    <xf numFmtId="0" fontId="10" fillId="18" borderId="102" xfId="0" applyFont="1" applyFill="1" applyBorder="1" applyAlignment="1" applyProtection="1">
      <alignment horizontal="center" vertical="center" wrapText="1"/>
    </xf>
    <xf numFmtId="17" fontId="10" fillId="18" borderId="102" xfId="0" applyNumberFormat="1" applyFont="1" applyFill="1" applyBorder="1" applyAlignment="1" applyProtection="1">
      <alignment horizontal="center" vertical="center" wrapText="1"/>
    </xf>
    <xf numFmtId="0" fontId="16" fillId="3" borderId="17" xfId="0" applyFont="1" applyFill="1" applyBorder="1"/>
    <xf numFmtId="0" fontId="16" fillId="3" borderId="16" xfId="0" applyFont="1" applyFill="1" applyBorder="1"/>
    <xf numFmtId="0" fontId="16" fillId="3" borderId="15" xfId="0" applyFont="1" applyFill="1" applyBorder="1"/>
    <xf numFmtId="0" fontId="16" fillId="3" borderId="14" xfId="0" applyFont="1" applyFill="1" applyBorder="1"/>
    <xf numFmtId="0" fontId="16" fillId="0" borderId="1" xfId="0" applyFont="1" applyFill="1" applyBorder="1" applyAlignment="1">
      <alignment wrapText="1"/>
    </xf>
    <xf numFmtId="0" fontId="16" fillId="0" borderId="1" xfId="0" applyFont="1" applyFill="1" applyBorder="1" applyAlignment="1">
      <alignment vertical="top" wrapText="1"/>
    </xf>
    <xf numFmtId="0" fontId="16" fillId="0" borderId="1" xfId="0" applyFont="1" applyFill="1" applyBorder="1" applyAlignment="1">
      <alignment vertical="center" wrapText="1"/>
    </xf>
    <xf numFmtId="0" fontId="16" fillId="0" borderId="1" xfId="0" applyFont="1" applyFill="1" applyBorder="1" applyAlignment="1">
      <alignment horizontal="left" vertical="center" wrapText="1"/>
    </xf>
    <xf numFmtId="49" fontId="16" fillId="0" borderId="1" xfId="0" quotePrefix="1" applyNumberFormat="1" applyFont="1" applyFill="1" applyBorder="1" applyAlignment="1">
      <alignment vertical="top" wrapText="1"/>
    </xf>
    <xf numFmtId="0" fontId="21" fillId="0" borderId="1" xfId="0" applyFont="1" applyFill="1" applyBorder="1" applyAlignment="1">
      <alignment horizontal="center" vertical="top"/>
    </xf>
    <xf numFmtId="0" fontId="16" fillId="3" borderId="0" xfId="0" applyFont="1" applyFill="1" applyBorder="1"/>
    <xf numFmtId="0" fontId="16" fillId="0" borderId="19" xfId="0" applyFont="1" applyFill="1" applyBorder="1" applyAlignment="1">
      <alignment vertical="top" wrapText="1"/>
    </xf>
    <xf numFmtId="0" fontId="16" fillId="0" borderId="20" xfId="0" applyFont="1" applyFill="1" applyBorder="1" applyAlignment="1">
      <alignment vertical="top" wrapText="1"/>
    </xf>
    <xf numFmtId="0" fontId="16" fillId="0" borderId="14" xfId="0" applyFont="1" applyFill="1" applyBorder="1" applyAlignment="1">
      <alignment vertical="top" wrapText="1"/>
    </xf>
    <xf numFmtId="0" fontId="16" fillId="0" borderId="18" xfId="0" applyFont="1" applyFill="1" applyBorder="1" applyAlignment="1">
      <alignment vertical="top" wrapText="1"/>
    </xf>
    <xf numFmtId="0" fontId="16" fillId="0" borderId="17" xfId="0" applyFont="1" applyFill="1" applyBorder="1" applyAlignment="1">
      <alignment vertical="top" wrapText="1"/>
    </xf>
    <xf numFmtId="0" fontId="16" fillId="0" borderId="19" xfId="0" applyFont="1" applyFill="1" applyBorder="1" applyAlignment="1">
      <alignment vertical="center" wrapText="1"/>
    </xf>
    <xf numFmtId="0" fontId="21" fillId="0" borderId="20" xfId="0" applyFont="1" applyFill="1" applyBorder="1" applyAlignment="1">
      <alignment horizontal="center" vertical="top" wrapText="1"/>
    </xf>
    <xf numFmtId="0" fontId="21" fillId="0" borderId="1" xfId="0" applyFont="1" applyFill="1" applyBorder="1" applyAlignment="1">
      <alignment horizontal="center" vertical="top" wrapText="1"/>
    </xf>
    <xf numFmtId="0" fontId="22" fillId="3" borderId="0" xfId="0" applyFont="1" applyFill="1" applyBorder="1"/>
    <xf numFmtId="0" fontId="1"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0" fillId="13" borderId="141" xfId="0" applyFont="1" applyFill="1" applyBorder="1" applyAlignment="1" applyProtection="1">
      <alignment vertical="top" wrapText="1"/>
    </xf>
    <xf numFmtId="43" fontId="1" fillId="2" borderId="142" xfId="5" applyFont="1" applyFill="1" applyBorder="1" applyAlignment="1" applyProtection="1">
      <alignment vertical="top" wrapText="1"/>
    </xf>
    <xf numFmtId="0" fontId="10" fillId="13" borderId="143" xfId="0" applyFont="1" applyFill="1" applyBorder="1" applyAlignment="1" applyProtection="1">
      <alignment vertical="top" wrapText="1"/>
    </xf>
    <xf numFmtId="0" fontId="10" fillId="2" borderId="144" xfId="0" applyFont="1" applyFill="1" applyBorder="1" applyAlignment="1" applyProtection="1">
      <alignment vertical="top" wrapText="1"/>
    </xf>
    <xf numFmtId="43" fontId="1" fillId="2" borderId="132" xfId="5" applyFont="1" applyFill="1" applyBorder="1" applyAlignment="1" applyProtection="1">
      <alignment vertical="top" wrapText="1"/>
    </xf>
    <xf numFmtId="0" fontId="1" fillId="2" borderId="142" xfId="0" applyFont="1" applyFill="1" applyBorder="1" applyAlignment="1" applyProtection="1">
      <alignment vertical="top" wrapText="1"/>
    </xf>
    <xf numFmtId="43" fontId="11" fillId="3" borderId="1" xfId="5" applyFont="1" applyFill="1" applyBorder="1" applyAlignment="1" applyProtection="1">
      <alignment vertical="top" wrapText="1"/>
    </xf>
    <xf numFmtId="17" fontId="1" fillId="2" borderId="142" xfId="0" applyNumberFormat="1" applyFont="1" applyFill="1" applyBorder="1" applyAlignment="1" applyProtection="1">
      <alignment vertical="top" wrapText="1"/>
    </xf>
    <xf numFmtId="43" fontId="1" fillId="2" borderId="132" xfId="5" applyFont="1" applyFill="1" applyBorder="1" applyAlignment="1" applyProtection="1">
      <alignment vertical="center" wrapText="1"/>
    </xf>
    <xf numFmtId="0" fontId="16" fillId="0" borderId="38" xfId="0" applyFont="1" applyFill="1" applyBorder="1" applyAlignment="1" applyProtection="1">
      <alignment horizontal="justify" vertical="center" wrapText="1"/>
    </xf>
    <xf numFmtId="0" fontId="8" fillId="26" borderId="0" xfId="0" applyFont="1" applyFill="1"/>
    <xf numFmtId="0" fontId="39" fillId="2" borderId="0" xfId="0" applyFont="1" applyFill="1" applyAlignment="1">
      <alignment wrapText="1"/>
    </xf>
    <xf numFmtId="43" fontId="113" fillId="16" borderId="94" xfId="5" applyFont="1" applyFill="1" applyBorder="1" applyAlignment="1" applyProtection="1">
      <alignment horizontal="left" vertical="center" wrapText="1"/>
    </xf>
    <xf numFmtId="0" fontId="11" fillId="26" borderId="102" xfId="0" applyFont="1" applyFill="1" applyBorder="1" applyAlignment="1">
      <alignment horizontal="center" vertical="center"/>
    </xf>
    <xf numFmtId="17" fontId="10" fillId="26" borderId="102" xfId="0" applyNumberFormat="1" applyFont="1" applyFill="1" applyBorder="1" applyAlignment="1">
      <alignment vertical="center"/>
    </xf>
    <xf numFmtId="0" fontId="11" fillId="2" borderId="1" xfId="0" applyFont="1" applyFill="1" applyBorder="1" applyAlignment="1" applyProtection="1">
      <alignment horizontal="center"/>
    </xf>
    <xf numFmtId="0" fontId="10" fillId="3" borderId="1" xfId="0" applyFont="1" applyFill="1" applyBorder="1" applyAlignment="1" applyProtection="1">
      <alignment horizontal="center"/>
    </xf>
    <xf numFmtId="0" fontId="87" fillId="0" borderId="13" xfId="0" applyFont="1" applyFill="1" applyBorder="1" applyAlignment="1" applyProtection="1">
      <alignment vertical="top" wrapText="1"/>
    </xf>
    <xf numFmtId="0" fontId="10" fillId="0" borderId="109" xfId="0" applyFont="1" applyFill="1" applyBorder="1" applyAlignment="1" applyProtection="1">
      <alignment vertical="center" wrapText="1"/>
    </xf>
    <xf numFmtId="43" fontId="10" fillId="0" borderId="131" xfId="5" applyFont="1" applyFill="1" applyBorder="1" applyAlignment="1" applyProtection="1">
      <alignment vertical="center" wrapText="1"/>
    </xf>
    <xf numFmtId="9" fontId="10" fillId="0" borderId="131" xfId="6" applyFont="1" applyFill="1" applyBorder="1" applyAlignment="1" applyProtection="1">
      <alignment horizontal="center" vertical="center" wrapText="1"/>
    </xf>
    <xf numFmtId="0" fontId="70" fillId="0" borderId="0" xfId="0" applyFont="1" applyFill="1"/>
    <xf numFmtId="0" fontId="10" fillId="15" borderId="117" xfId="0" applyFont="1" applyFill="1" applyBorder="1" applyAlignment="1" applyProtection="1">
      <alignment horizontal="justify" vertical="center" wrapText="1"/>
    </xf>
    <xf numFmtId="169" fontId="47" fillId="0" borderId="49" xfId="5" applyNumberFormat="1" applyFont="1" applyFill="1" applyBorder="1" applyAlignment="1" applyProtection="1">
      <alignment horizontal="left" vertical="center" wrapText="1"/>
    </xf>
    <xf numFmtId="169" fontId="47" fillId="0" borderId="107" xfId="5" applyNumberFormat="1" applyFont="1" applyFill="1" applyBorder="1" applyAlignment="1" applyProtection="1">
      <alignment horizontal="left" vertical="center" wrapText="1"/>
    </xf>
    <xf numFmtId="169" fontId="47" fillId="0" borderId="112" xfId="5" applyNumberFormat="1" applyFont="1" applyFill="1" applyBorder="1" applyAlignment="1" applyProtection="1">
      <alignment horizontal="left" vertical="center" wrapText="1"/>
    </xf>
    <xf numFmtId="169" fontId="47" fillId="0" borderId="30" xfId="5" applyNumberFormat="1" applyFont="1" applyFill="1" applyBorder="1" applyAlignment="1" applyProtection="1">
      <alignment horizontal="left" vertical="center" wrapText="1"/>
    </xf>
    <xf numFmtId="0" fontId="16" fillId="0" borderId="117" xfId="0" applyFont="1" applyFill="1" applyBorder="1" applyAlignment="1" applyProtection="1">
      <alignment horizontal="left" vertical="center" wrapText="1"/>
    </xf>
    <xf numFmtId="0" fontId="10" fillId="0" borderId="17" xfId="0" applyFont="1" applyFill="1" applyBorder="1" applyAlignment="1">
      <alignment horizontal="left" vertical="center" wrapText="1"/>
    </xf>
    <xf numFmtId="49" fontId="10" fillId="0" borderId="1" xfId="0" applyNumberFormat="1" applyFont="1" applyFill="1" applyBorder="1" applyAlignment="1">
      <alignment vertical="top" wrapText="1"/>
    </xf>
    <xf numFmtId="43" fontId="10" fillId="0" borderId="142" xfId="5" applyFont="1" applyFill="1" applyBorder="1" applyAlignment="1" applyProtection="1">
      <alignment vertical="top" wrapText="1"/>
    </xf>
    <xf numFmtId="43" fontId="1" fillId="0" borderId="142" xfId="5" applyFont="1" applyFill="1" applyBorder="1" applyAlignment="1" applyProtection="1">
      <alignment vertical="top" wrapText="1"/>
    </xf>
    <xf numFmtId="43" fontId="1" fillId="0" borderId="95" xfId="5" applyFont="1" applyFill="1" applyBorder="1" applyAlignment="1" applyProtection="1">
      <alignment vertical="top" wrapText="1"/>
    </xf>
    <xf numFmtId="0" fontId="16" fillId="15" borderId="117" xfId="0" applyFont="1" applyFill="1" applyBorder="1" applyAlignment="1" applyProtection="1">
      <alignment horizontal="left" vertical="top" wrapText="1"/>
    </xf>
    <xf numFmtId="0" fontId="26" fillId="12" borderId="145" xfId="4" applyFill="1" applyBorder="1" applyAlignment="1" applyProtection="1">
      <alignment horizontal="center" vertical="center"/>
      <protection locked="0"/>
    </xf>
    <xf numFmtId="0" fontId="26" fillId="12" borderId="142" xfId="4" applyFill="1" applyBorder="1" applyAlignment="1" applyProtection="1">
      <alignment horizontal="center" vertical="center"/>
      <protection locked="0"/>
    </xf>
    <xf numFmtId="0" fontId="34" fillId="12" borderId="119" xfId="4" applyFont="1" applyFill="1" applyBorder="1" applyAlignment="1" applyProtection="1">
      <alignment horizontal="center" vertical="center"/>
      <protection locked="0"/>
    </xf>
    <xf numFmtId="0" fontId="26" fillId="12" borderId="123" xfId="4" applyFill="1" applyBorder="1" applyAlignment="1" applyProtection="1">
      <alignment vertical="center" wrapText="1"/>
      <protection locked="0"/>
    </xf>
    <xf numFmtId="0" fontId="31" fillId="8" borderId="119" xfId="4" applyFont="1" applyBorder="1" applyAlignment="1" applyProtection="1">
      <alignment horizontal="center" vertical="center"/>
      <protection locked="0"/>
    </xf>
    <xf numFmtId="0" fontId="31" fillId="12" borderId="119" xfId="4" applyFont="1" applyFill="1" applyBorder="1" applyAlignment="1" applyProtection="1">
      <alignment horizontal="center" vertical="center"/>
      <protection locked="0"/>
    </xf>
    <xf numFmtId="0" fontId="26" fillId="12" borderId="119" xfId="4" applyFill="1" applyBorder="1" applyAlignment="1" applyProtection="1">
      <alignment horizontal="center" vertical="center"/>
      <protection locked="0"/>
    </xf>
    <xf numFmtId="0" fontId="2" fillId="3" borderId="1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14" xfId="0" applyFont="1" applyFill="1" applyBorder="1" applyAlignment="1" applyProtection="1">
      <alignment horizontal="right" wrapText="1"/>
    </xf>
    <xf numFmtId="0" fontId="2" fillId="3" borderId="13" xfId="0" applyFont="1" applyFill="1" applyBorder="1" applyAlignment="1" applyProtection="1">
      <alignment horizontal="right" vertical="top" wrapText="1"/>
    </xf>
    <xf numFmtId="0" fontId="2" fillId="3" borderId="14" xfId="0" applyFont="1" applyFill="1" applyBorder="1" applyAlignment="1" applyProtection="1">
      <alignment horizontal="right" vertical="top" wrapText="1"/>
    </xf>
    <xf numFmtId="0" fontId="10" fillId="2" borderId="7" xfId="0" applyFont="1" applyFill="1" applyBorder="1" applyAlignment="1" applyProtection="1">
      <alignment horizontal="center" vertical="center"/>
    </xf>
    <xf numFmtId="0" fontId="10" fillId="2" borderId="59" xfId="0" applyFont="1" applyFill="1" applyBorder="1" applyAlignment="1" applyProtection="1">
      <alignment horizontal="center" vertical="center"/>
    </xf>
    <xf numFmtId="0" fontId="11" fillId="2" borderId="26" xfId="0" applyFont="1" applyFill="1" applyBorder="1" applyAlignment="1" applyProtection="1">
      <alignment horizontal="center"/>
    </xf>
    <xf numFmtId="0" fontId="11" fillId="2" borderId="8" xfId="0" applyFont="1" applyFill="1" applyBorder="1" applyAlignment="1" applyProtection="1">
      <alignment horizontal="center"/>
    </xf>
    <xf numFmtId="0" fontId="11" fillId="2" borderId="20" xfId="0" applyFont="1" applyFill="1" applyBorder="1" applyAlignment="1" applyProtection="1">
      <alignment horizontal="center"/>
    </xf>
    <xf numFmtId="0" fontId="7" fillId="3" borderId="0" xfId="0" applyFont="1" applyFill="1" applyBorder="1" applyAlignment="1" applyProtection="1">
      <alignment horizontal="center"/>
    </xf>
    <xf numFmtId="0" fontId="7" fillId="3" borderId="13" xfId="0" applyFont="1" applyFill="1" applyBorder="1" applyAlignment="1" applyProtection="1">
      <alignment horizontal="center" wrapText="1"/>
    </xf>
    <xf numFmtId="0" fontId="7" fillId="3" borderId="0" xfId="0" applyFont="1" applyFill="1" applyBorder="1" applyAlignment="1" applyProtection="1">
      <alignment horizontal="center" wrapText="1"/>
    </xf>
    <xf numFmtId="0" fontId="4" fillId="3" borderId="0" xfId="0" applyFont="1" applyFill="1" applyBorder="1" applyAlignment="1" applyProtection="1">
      <alignment horizontal="left" vertical="top" wrapText="1"/>
    </xf>
    <xf numFmtId="0" fontId="8"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76" fillId="3" borderId="13" xfId="0" applyFont="1" applyFill="1" applyBorder="1" applyAlignment="1" applyProtection="1">
      <alignment horizontal="center" vertical="top" wrapText="1"/>
    </xf>
    <xf numFmtId="0" fontId="76" fillId="3" borderId="0" xfId="0" applyFont="1" applyFill="1" applyBorder="1" applyAlignment="1" applyProtection="1">
      <alignment horizontal="center" vertical="top" wrapText="1"/>
    </xf>
    <xf numFmtId="43" fontId="11" fillId="2" borderId="26" xfId="5" applyNumberFormat="1" applyFont="1" applyFill="1" applyBorder="1" applyAlignment="1" applyProtection="1">
      <alignment horizontal="center" vertical="center" wrapText="1"/>
      <protection locked="0"/>
    </xf>
    <xf numFmtId="43" fontId="11" fillId="2" borderId="20" xfId="5" applyNumberFormat="1" applyFont="1" applyFill="1" applyBorder="1" applyAlignment="1" applyProtection="1">
      <alignment horizontal="center" vertical="center" wrapText="1"/>
      <protection locked="0"/>
    </xf>
    <xf numFmtId="43" fontId="20" fillId="0" borderId="26" xfId="5" applyFont="1" applyBorder="1" applyAlignment="1" applyProtection="1">
      <alignment vertical="center"/>
      <protection locked="0"/>
    </xf>
    <xf numFmtId="43" fontId="20" fillId="0" borderId="20" xfId="5" applyFont="1" applyBorder="1" applyAlignment="1" applyProtection="1">
      <alignment vertical="center"/>
      <protection locked="0"/>
    </xf>
    <xf numFmtId="3" fontId="2" fillId="2" borderId="26" xfId="0" applyNumberFormat="1" applyFont="1" applyFill="1" applyBorder="1" applyAlignment="1" applyProtection="1">
      <alignment horizontal="right" vertical="center" wrapText="1"/>
      <protection locked="0"/>
    </xf>
    <xf numFmtId="3" fontId="2" fillId="2" borderId="20" xfId="0" applyNumberFormat="1" applyFont="1" applyFill="1" applyBorder="1" applyAlignment="1" applyProtection="1">
      <alignment horizontal="right" vertical="center" wrapText="1"/>
      <protection locked="0"/>
    </xf>
    <xf numFmtId="0" fontId="10" fillId="2" borderId="26" xfId="0" applyFont="1" applyFill="1" applyBorder="1" applyAlignment="1" applyProtection="1">
      <alignment horizontal="left" vertical="top" wrapText="1"/>
      <protection locked="0"/>
    </xf>
    <xf numFmtId="0" fontId="10" fillId="2" borderId="20" xfId="0" applyFont="1" applyFill="1" applyBorder="1" applyAlignment="1" applyProtection="1">
      <alignment horizontal="left" vertical="top" wrapText="1"/>
      <protection locked="0"/>
    </xf>
    <xf numFmtId="0" fontId="1" fillId="2" borderId="26" xfId="0" applyFont="1" applyFill="1" applyBorder="1" applyAlignment="1" applyProtection="1">
      <alignment horizontal="left" vertical="top" wrapText="1"/>
      <protection locked="0"/>
    </xf>
    <xf numFmtId="0" fontId="1" fillId="2" borderId="20"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center" wrapText="1"/>
    </xf>
    <xf numFmtId="43" fontId="1" fillId="2" borderId="26" xfId="5" applyFont="1" applyFill="1" applyBorder="1" applyAlignment="1" applyProtection="1">
      <alignment horizontal="center" vertical="top" wrapText="1"/>
      <protection locked="0"/>
    </xf>
    <xf numFmtId="43" fontId="1" fillId="2" borderId="20" xfId="5" applyFont="1" applyFill="1" applyBorder="1" applyAlignment="1" applyProtection="1">
      <alignment horizontal="center" vertical="top" wrapText="1"/>
      <protection locked="0"/>
    </xf>
    <xf numFmtId="3" fontId="1" fillId="0" borderId="0" xfId="0" applyNumberFormat="1" applyFont="1" applyFill="1" applyBorder="1" applyAlignment="1" applyProtection="1">
      <alignment vertical="top" wrapText="1"/>
      <protection locked="0"/>
    </xf>
    <xf numFmtId="0" fontId="1" fillId="0" borderId="0" xfId="0" applyFont="1" applyFill="1" applyBorder="1" applyAlignment="1" applyProtection="1">
      <alignment vertical="top" wrapText="1"/>
      <protection locked="0"/>
    </xf>
    <xf numFmtId="0" fontId="2" fillId="2" borderId="26" xfId="0" applyFont="1" applyFill="1" applyBorder="1" applyAlignment="1" applyProtection="1">
      <alignment horizontal="center" vertical="top" wrapText="1"/>
    </xf>
    <xf numFmtId="0" fontId="2" fillId="2" borderId="20" xfId="0" applyFont="1" applyFill="1" applyBorder="1" applyAlignment="1" applyProtection="1">
      <alignment horizontal="center" vertical="top" wrapText="1"/>
    </xf>
    <xf numFmtId="0" fontId="1" fillId="2" borderId="26" xfId="0" applyFont="1" applyFill="1" applyBorder="1" applyAlignment="1" applyProtection="1">
      <alignment vertical="top" wrapText="1"/>
      <protection locked="0"/>
    </xf>
    <xf numFmtId="0" fontId="1" fillId="2" borderId="20" xfId="0" applyFont="1" applyFill="1" applyBorder="1" applyAlignment="1" applyProtection="1">
      <alignment vertical="top" wrapText="1"/>
      <protection locked="0"/>
    </xf>
    <xf numFmtId="0" fontId="8" fillId="3" borderId="0" xfId="0" applyFont="1" applyFill="1" applyBorder="1" applyAlignment="1" applyProtection="1">
      <alignment vertical="top" wrapText="1"/>
    </xf>
    <xf numFmtId="43" fontId="1" fillId="2" borderId="26" xfId="5" applyFont="1" applyFill="1" applyBorder="1" applyAlignment="1" applyProtection="1">
      <alignment vertical="top" wrapText="1"/>
      <protection locked="0"/>
    </xf>
    <xf numFmtId="43" fontId="1" fillId="2" borderId="20" xfId="5" applyFont="1" applyFill="1" applyBorder="1" applyAlignment="1" applyProtection="1">
      <alignment vertical="top" wrapText="1"/>
      <protection locked="0"/>
    </xf>
    <xf numFmtId="0" fontId="2" fillId="3" borderId="16"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39" fillId="0" borderId="13" xfId="0" applyFont="1" applyBorder="1" applyAlignment="1">
      <alignment horizontal="center" wrapText="1"/>
    </xf>
    <xf numFmtId="0" fontId="39" fillId="0" borderId="0" xfId="0" applyFont="1" applyAlignment="1">
      <alignment horizontal="center" wrapText="1"/>
    </xf>
    <xf numFmtId="0" fontId="8" fillId="3" borderId="0"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0" fontId="65" fillId="2" borderId="19" xfId="0" applyFont="1" applyFill="1" applyBorder="1" applyAlignment="1" applyProtection="1">
      <alignment horizontal="left" vertical="center" wrapText="1"/>
    </xf>
    <xf numFmtId="168" fontId="65" fillId="2" borderId="49" xfId="5" applyNumberFormat="1" applyFont="1" applyFill="1" applyBorder="1" applyAlignment="1" applyProtection="1">
      <alignment horizontal="center" vertical="center" wrapText="1"/>
    </xf>
    <xf numFmtId="168" fontId="65" fillId="2" borderId="50" xfId="5" applyNumberFormat="1" applyFont="1" applyFill="1" applyBorder="1" applyAlignment="1" applyProtection="1">
      <alignment horizontal="center" vertical="center" wrapText="1"/>
    </xf>
    <xf numFmtId="0" fontId="65" fillId="2" borderId="24" xfId="0" applyFont="1" applyFill="1" applyBorder="1" applyAlignment="1" applyProtection="1">
      <alignment horizontal="left" vertical="center" wrapText="1"/>
    </xf>
    <xf numFmtId="0" fontId="65" fillId="2" borderId="51" xfId="0" applyFont="1" applyFill="1" applyBorder="1" applyAlignment="1" applyProtection="1">
      <alignment horizontal="left" vertical="center" wrapText="1"/>
    </xf>
    <xf numFmtId="0" fontId="65" fillId="2" borderId="7" xfId="0" applyFont="1" applyFill="1" applyBorder="1" applyAlignment="1" applyProtection="1">
      <alignment horizontal="left" vertical="top" wrapText="1"/>
    </xf>
    <xf numFmtId="0" fontId="65" fillId="2" borderId="18" xfId="0" applyFont="1" applyFill="1" applyBorder="1" applyAlignment="1" applyProtection="1">
      <alignment horizontal="left" vertical="top" wrapText="1"/>
    </xf>
    <xf numFmtId="0" fontId="65" fillId="2" borderId="19" xfId="0" applyFont="1" applyFill="1" applyBorder="1" applyAlignment="1" applyProtection="1">
      <alignment horizontal="left" vertical="top" wrapText="1"/>
    </xf>
    <xf numFmtId="169" fontId="0" fillId="2" borderId="53" xfId="11" applyNumberFormat="1" applyFont="1" applyFill="1" applyBorder="1" applyAlignment="1" applyProtection="1">
      <alignment horizontal="center" vertical="center" wrapText="1"/>
    </xf>
    <xf numFmtId="169" fontId="0" fillId="2" borderId="31" xfId="11" applyNumberFormat="1" applyFont="1" applyFill="1" applyBorder="1" applyAlignment="1" applyProtection="1">
      <alignment horizontal="center" vertical="center" wrapText="1"/>
    </xf>
    <xf numFmtId="0" fontId="0" fillId="2" borderId="7" xfId="0" applyFont="1" applyFill="1" applyBorder="1" applyAlignment="1" applyProtection="1">
      <alignment horizontal="left" vertical="top" wrapText="1"/>
    </xf>
    <xf numFmtId="0" fontId="0" fillId="2" borderId="18" xfId="0" applyFont="1" applyFill="1" applyBorder="1" applyAlignment="1" applyProtection="1">
      <alignment horizontal="left" vertical="top" wrapText="1"/>
    </xf>
    <xf numFmtId="0" fontId="0" fillId="2" borderId="19" xfId="0" applyFont="1" applyFill="1" applyBorder="1" applyAlignment="1" applyProtection="1">
      <alignment horizontal="left" vertical="top" wrapText="1"/>
    </xf>
    <xf numFmtId="169" fontId="65" fillId="2" borderId="23" xfId="11" applyNumberFormat="1" applyFont="1" applyFill="1" applyBorder="1" applyAlignment="1" applyProtection="1">
      <alignment horizontal="center" vertical="center" wrapText="1"/>
    </xf>
    <xf numFmtId="169" fontId="65" fillId="2" borderId="39" xfId="11" applyNumberFormat="1" applyFont="1" applyFill="1" applyBorder="1" applyAlignment="1" applyProtection="1">
      <alignment horizontal="center" vertical="center" wrapText="1"/>
    </xf>
    <xf numFmtId="169" fontId="65" fillId="2" borderId="55" xfId="11" applyNumberFormat="1" applyFont="1" applyFill="1" applyBorder="1" applyAlignment="1" applyProtection="1">
      <alignment horizontal="center" vertical="center" wrapText="1"/>
    </xf>
    <xf numFmtId="0" fontId="0" fillId="2" borderId="24" xfId="0" applyFont="1" applyFill="1" applyBorder="1" applyAlignment="1" applyProtection="1">
      <alignment horizontal="left" vertical="center" wrapText="1"/>
    </xf>
    <xf numFmtId="0" fontId="0" fillId="2" borderId="40" xfId="0" applyFont="1" applyFill="1" applyBorder="1" applyAlignment="1" applyProtection="1">
      <alignment horizontal="left" vertical="center" wrapText="1"/>
    </xf>
    <xf numFmtId="0" fontId="0" fillId="2" borderId="51" xfId="0" applyFont="1" applyFill="1" applyBorder="1" applyAlignment="1" applyProtection="1">
      <alignment horizontal="left" vertical="center" wrapText="1"/>
    </xf>
    <xf numFmtId="169" fontId="65" fillId="2" borderId="7" xfId="11" applyNumberFormat="1" applyFont="1" applyFill="1" applyBorder="1" applyAlignment="1" applyProtection="1">
      <alignment horizontal="center" vertical="center" wrapText="1"/>
    </xf>
    <xf numFmtId="169" fontId="65" fillId="2" borderId="18" xfId="11" applyNumberFormat="1" applyFont="1" applyFill="1" applyBorder="1" applyAlignment="1" applyProtection="1">
      <alignment horizontal="center" vertical="center" wrapText="1"/>
    </xf>
    <xf numFmtId="169" fontId="65" fillId="2" borderId="19" xfId="11" applyNumberFormat="1" applyFont="1" applyFill="1" applyBorder="1" applyAlignment="1" applyProtection="1">
      <alignment horizontal="center" vertical="center" wrapText="1"/>
    </xf>
    <xf numFmtId="0" fontId="0" fillId="2" borderId="30" xfId="0" applyFont="1" applyFill="1" applyBorder="1" applyAlignment="1" applyProtection="1">
      <alignment horizontal="left" vertical="center" wrapText="1"/>
    </xf>
    <xf numFmtId="0" fontId="0" fillId="2" borderId="50" xfId="0" applyFont="1" applyFill="1" applyBorder="1" applyAlignment="1" applyProtection="1">
      <alignment horizontal="left" vertical="center" wrapText="1"/>
    </xf>
    <xf numFmtId="0" fontId="0" fillId="2" borderId="49" xfId="0" applyFont="1" applyFill="1" applyBorder="1" applyAlignment="1" applyProtection="1">
      <alignment horizontal="left" vertical="center" wrapText="1"/>
    </xf>
    <xf numFmtId="0" fontId="113" fillId="2" borderId="13" xfId="0" applyFont="1" applyFill="1" applyBorder="1" applyAlignment="1">
      <alignment horizontal="center" vertical="center" wrapText="1"/>
    </xf>
    <xf numFmtId="0" fontId="10" fillId="3" borderId="13"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11" fillId="3" borderId="0" xfId="0" applyFont="1" applyFill="1" applyBorder="1" applyAlignment="1" applyProtection="1">
      <alignment horizontal="left"/>
    </xf>
    <xf numFmtId="0" fontId="11" fillId="3" borderId="14" xfId="0" applyFont="1" applyFill="1" applyBorder="1" applyAlignment="1" applyProtection="1">
      <alignment horizontal="left"/>
    </xf>
    <xf numFmtId="0" fontId="11" fillId="3" borderId="0" xfId="0" applyFont="1" applyFill="1" applyBorder="1" applyAlignment="1" applyProtection="1">
      <alignment horizontal="left" vertical="top" wrapText="1"/>
    </xf>
    <xf numFmtId="0" fontId="65" fillId="2" borderId="18" xfId="0" applyFont="1" applyFill="1" applyBorder="1" applyAlignment="1" applyProtection="1">
      <alignment horizontal="left" vertical="center" wrapText="1"/>
    </xf>
    <xf numFmtId="168" fontId="65" fillId="0" borderId="49" xfId="5" applyNumberFormat="1" applyFont="1" applyFill="1" applyBorder="1" applyAlignment="1" applyProtection="1">
      <alignment horizontal="center" vertical="center" wrapText="1"/>
    </xf>
    <xf numFmtId="168" fontId="65" fillId="0" borderId="30" xfId="5" applyNumberFormat="1" applyFont="1" applyFill="1" applyBorder="1" applyAlignment="1" applyProtection="1">
      <alignment horizontal="center" vertical="center" wrapText="1"/>
    </xf>
    <xf numFmtId="168" fontId="65" fillId="0" borderId="50" xfId="5" applyNumberFormat="1" applyFont="1" applyFill="1" applyBorder="1" applyAlignment="1" applyProtection="1">
      <alignment horizontal="center" vertical="center" wrapText="1"/>
    </xf>
    <xf numFmtId="0" fontId="65" fillId="2" borderId="40" xfId="0" applyFont="1" applyFill="1" applyBorder="1" applyAlignment="1" applyProtection="1">
      <alignment horizontal="left" vertical="center" wrapText="1"/>
    </xf>
    <xf numFmtId="43" fontId="65" fillId="2" borderId="53" xfId="5" applyFont="1" applyFill="1" applyBorder="1" applyAlignment="1" applyProtection="1">
      <alignment horizontal="center" vertical="center" wrapText="1"/>
    </xf>
    <xf numFmtId="43" fontId="65" fillId="2" borderId="31" xfId="5" applyFont="1" applyFill="1" applyBorder="1" applyAlignment="1" applyProtection="1">
      <alignment horizontal="center" vertical="center" wrapText="1"/>
    </xf>
    <xf numFmtId="43" fontId="65" fillId="2" borderId="52" xfId="5" applyFont="1" applyFill="1" applyBorder="1" applyAlignment="1" applyProtection="1">
      <alignment horizontal="center" vertical="center" wrapText="1"/>
    </xf>
    <xf numFmtId="0" fontId="65" fillId="2" borderId="24" xfId="0" applyFont="1" applyFill="1" applyBorder="1" applyAlignment="1" applyProtection="1">
      <alignment horizontal="left" vertical="top" wrapText="1"/>
    </xf>
    <xf numFmtId="0" fontId="65" fillId="2" borderId="40" xfId="0" applyFont="1" applyFill="1" applyBorder="1" applyAlignment="1" applyProtection="1">
      <alignment horizontal="left" vertical="top" wrapText="1"/>
    </xf>
    <xf numFmtId="0" fontId="65" fillId="2" borderId="51" xfId="0" applyFont="1" applyFill="1" applyBorder="1" applyAlignment="1" applyProtection="1">
      <alignment horizontal="left" vertical="top" wrapText="1"/>
    </xf>
    <xf numFmtId="0" fontId="8" fillId="17" borderId="11" xfId="0" applyFont="1" applyFill="1" applyBorder="1" applyAlignment="1" applyProtection="1">
      <alignment horizontal="left" vertical="top" wrapText="1"/>
    </xf>
    <xf numFmtId="0" fontId="8" fillId="17" borderId="0" xfId="0" applyFont="1" applyFill="1" applyBorder="1" applyAlignment="1" applyProtection="1">
      <alignment horizontal="left" vertical="top" wrapText="1"/>
    </xf>
    <xf numFmtId="0" fontId="0" fillId="2" borderId="7" xfId="0" applyFont="1" applyFill="1" applyBorder="1" applyAlignment="1" applyProtection="1">
      <alignment horizontal="left" vertical="center" wrapText="1"/>
    </xf>
    <xf numFmtId="0" fontId="0" fillId="2" borderId="19" xfId="0" applyFont="1" applyFill="1" applyBorder="1" applyAlignment="1" applyProtection="1">
      <alignment horizontal="left" vertical="center" wrapText="1"/>
    </xf>
    <xf numFmtId="169" fontId="0" fillId="2" borderId="7" xfId="11" applyNumberFormat="1" applyFont="1" applyFill="1" applyBorder="1" applyAlignment="1" applyProtection="1">
      <alignment horizontal="center" vertical="center" wrapText="1"/>
    </xf>
    <xf numFmtId="169" fontId="0" fillId="2" borderId="19" xfId="11" applyNumberFormat="1" applyFont="1" applyFill="1" applyBorder="1" applyAlignment="1" applyProtection="1">
      <alignment horizontal="center" vertical="center" wrapText="1"/>
    </xf>
    <xf numFmtId="0" fontId="65" fillId="16" borderId="18" xfId="0" applyFont="1" applyFill="1" applyBorder="1" applyAlignment="1" applyProtection="1">
      <alignment horizontal="left" vertical="center" wrapText="1"/>
    </xf>
    <xf numFmtId="0" fontId="65" fillId="16" borderId="2" xfId="0" applyFont="1" applyFill="1" applyBorder="1" applyAlignment="1" applyProtection="1">
      <alignment horizontal="left" vertical="center" wrapText="1"/>
    </xf>
    <xf numFmtId="0" fontId="65" fillId="16" borderId="109" xfId="0" applyFont="1" applyFill="1" applyBorder="1" applyAlignment="1" applyProtection="1">
      <alignment horizontal="left" vertical="center" wrapText="1"/>
    </xf>
    <xf numFmtId="0" fontId="65" fillId="16" borderId="111" xfId="0" applyFont="1" applyFill="1" applyBorder="1" applyAlignment="1" applyProtection="1">
      <alignment horizontal="left" vertical="center" wrapText="1"/>
    </xf>
    <xf numFmtId="169" fontId="65" fillId="16" borderId="2" xfId="5" applyNumberFormat="1" applyFont="1" applyFill="1" applyBorder="1" applyAlignment="1" applyProtection="1">
      <alignment horizontal="center" vertical="center" wrapText="1"/>
    </xf>
    <xf numFmtId="169" fontId="65" fillId="16" borderId="109" xfId="5" applyNumberFormat="1" applyFont="1" applyFill="1" applyBorder="1" applyAlignment="1" applyProtection="1">
      <alignment horizontal="center" vertical="center" wrapText="1"/>
    </xf>
    <xf numFmtId="169" fontId="65" fillId="16" borderId="110" xfId="5" applyNumberFormat="1" applyFont="1" applyFill="1" applyBorder="1" applyAlignment="1" applyProtection="1">
      <alignment horizontal="center" vertical="center" wrapText="1"/>
    </xf>
    <xf numFmtId="0" fontId="65" fillId="16" borderId="110" xfId="0" applyFont="1" applyFill="1" applyBorder="1" applyAlignment="1" applyProtection="1">
      <alignment horizontal="left" vertical="center" wrapText="1"/>
    </xf>
    <xf numFmtId="0" fontId="0" fillId="2" borderId="18" xfId="0" applyFont="1" applyFill="1" applyBorder="1" applyAlignment="1" applyProtection="1">
      <alignment horizontal="left" vertical="center" wrapText="1"/>
    </xf>
    <xf numFmtId="169" fontId="0" fillId="2" borderId="18" xfId="11" applyNumberFormat="1" applyFont="1" applyFill="1" applyBorder="1" applyAlignment="1" applyProtection="1">
      <alignment horizontal="center" vertical="center" wrapText="1"/>
    </xf>
    <xf numFmtId="0" fontId="65" fillId="2" borderId="10" xfId="0" applyFont="1" applyFill="1" applyBorder="1" applyAlignment="1" applyProtection="1">
      <alignment horizontal="center" vertical="center" wrapText="1"/>
    </xf>
    <xf numFmtId="0" fontId="65" fillId="2" borderId="13" xfId="0" applyFont="1" applyFill="1" applyBorder="1" applyAlignment="1" applyProtection="1">
      <alignment horizontal="center" vertical="center" wrapText="1"/>
    </xf>
    <xf numFmtId="0" fontId="65" fillId="2" borderId="15" xfId="0" applyFont="1" applyFill="1" applyBorder="1" applyAlignment="1" applyProtection="1">
      <alignment horizontal="center" vertical="center" wrapText="1"/>
    </xf>
    <xf numFmtId="169" fontId="65" fillId="2" borderId="6" xfId="11" applyNumberFormat="1" applyFont="1" applyFill="1" applyBorder="1" applyAlignment="1" applyProtection="1">
      <alignment horizontal="center" vertical="center" wrapText="1"/>
    </xf>
    <xf numFmtId="169" fontId="65" fillId="2" borderId="102" xfId="11" applyNumberFormat="1" applyFont="1" applyFill="1" applyBorder="1" applyAlignment="1" applyProtection="1">
      <alignment horizontal="center" vertical="center" wrapText="1"/>
    </xf>
    <xf numFmtId="169" fontId="65" fillId="2" borderId="107" xfId="11" applyNumberFormat="1" applyFont="1" applyFill="1" applyBorder="1" applyAlignment="1" applyProtection="1">
      <alignment horizontal="center" vertical="center" wrapText="1"/>
    </xf>
    <xf numFmtId="0" fontId="65" fillId="2" borderId="5" xfId="0" applyFont="1" applyFill="1" applyBorder="1" applyAlignment="1" applyProtection="1">
      <alignment horizontal="center" vertical="center" wrapText="1"/>
    </xf>
    <xf numFmtId="0" fontId="65" fillId="2" borderId="96" xfId="0" applyFont="1" applyFill="1" applyBorder="1" applyAlignment="1" applyProtection="1">
      <alignment horizontal="center" vertical="center" wrapText="1"/>
    </xf>
    <xf numFmtId="0" fontId="65" fillId="2" borderId="98" xfId="0" applyFont="1" applyFill="1" applyBorder="1" applyAlignment="1" applyProtection="1">
      <alignment horizontal="center" vertical="center" wrapText="1"/>
    </xf>
    <xf numFmtId="0" fontId="47" fillId="15" borderId="7" xfId="0" applyFont="1" applyFill="1" applyBorder="1" applyAlignment="1" applyProtection="1">
      <alignment horizontal="center" vertical="center" wrapText="1"/>
    </xf>
    <xf numFmtId="0" fontId="47" fillId="15" borderId="18" xfId="0" applyFont="1" applyFill="1" applyBorder="1" applyAlignment="1" applyProtection="1">
      <alignment horizontal="center" vertical="center" wrapText="1"/>
    </xf>
    <xf numFmtId="0" fontId="47" fillId="15" borderId="19" xfId="0" applyFont="1" applyFill="1" applyBorder="1" applyAlignment="1" applyProtection="1">
      <alignment horizontal="center" vertical="center" wrapText="1"/>
    </xf>
    <xf numFmtId="169" fontId="47" fillId="15" borderId="49" xfId="5" applyNumberFormat="1" applyFont="1" applyFill="1" applyBorder="1" applyAlignment="1" applyProtection="1">
      <alignment horizontal="center" vertical="center" wrapText="1"/>
    </xf>
    <xf numFmtId="169" fontId="47" fillId="15" borderId="30" xfId="5" applyNumberFormat="1" applyFont="1" applyFill="1" applyBorder="1" applyAlignment="1" applyProtection="1">
      <alignment horizontal="center" vertical="center" wrapText="1"/>
    </xf>
    <xf numFmtId="169" fontId="47" fillId="15" borderId="50" xfId="5" applyNumberFormat="1" applyFont="1" applyFill="1" applyBorder="1" applyAlignment="1" applyProtection="1">
      <alignment horizontal="center" vertical="center" wrapText="1"/>
    </xf>
    <xf numFmtId="0" fontId="47" fillId="2" borderId="24" xfId="0" applyFont="1" applyFill="1" applyBorder="1" applyAlignment="1" applyProtection="1">
      <alignment horizontal="center" vertical="center" wrapText="1"/>
    </xf>
    <xf numFmtId="0" fontId="47" fillId="2" borderId="40" xfId="0" applyFont="1" applyFill="1" applyBorder="1" applyAlignment="1" applyProtection="1">
      <alignment horizontal="center" vertical="center" wrapText="1"/>
    </xf>
    <xf numFmtId="0" fontId="47" fillId="2" borderId="51" xfId="0" applyFont="1" applyFill="1" applyBorder="1" applyAlignment="1" applyProtection="1">
      <alignment horizontal="center" vertical="center" wrapText="1"/>
    </xf>
    <xf numFmtId="0" fontId="65" fillId="2" borderId="7" xfId="0" applyFont="1" applyFill="1" applyBorder="1" applyAlignment="1" applyProtection="1">
      <alignment horizontal="center" vertical="top" wrapText="1"/>
    </xf>
    <xf numFmtId="0" fontId="65" fillId="2" borderId="18" xfId="0" applyFont="1" applyFill="1" applyBorder="1" applyAlignment="1" applyProtection="1">
      <alignment horizontal="center" vertical="top" wrapText="1"/>
    </xf>
    <xf numFmtId="0" fontId="65" fillId="2" borderId="19" xfId="0" applyFont="1" applyFill="1" applyBorder="1" applyAlignment="1" applyProtection="1">
      <alignment horizontal="center" vertical="top" wrapText="1"/>
    </xf>
    <xf numFmtId="0" fontId="65" fillId="2" borderId="23" xfId="0" applyFont="1" applyFill="1" applyBorder="1" applyAlignment="1" applyProtection="1">
      <alignment horizontal="center" vertical="center" wrapText="1"/>
    </xf>
    <xf numFmtId="0" fontId="65" fillId="2" borderId="39" xfId="0" applyFont="1" applyFill="1" applyBorder="1" applyAlignment="1" applyProtection="1">
      <alignment horizontal="center" vertical="center" wrapText="1"/>
    </xf>
    <xf numFmtId="0" fontId="65" fillId="2" borderId="55" xfId="0" applyFont="1" applyFill="1" applyBorder="1" applyAlignment="1" applyProtection="1">
      <alignment horizontal="center" vertical="center" wrapText="1"/>
    </xf>
    <xf numFmtId="169" fontId="65" fillId="2" borderId="24" xfId="11" applyNumberFormat="1" applyFont="1" applyFill="1" applyBorder="1" applyAlignment="1" applyProtection="1">
      <alignment horizontal="center" vertical="center" wrapText="1"/>
    </xf>
    <xf numFmtId="169" fontId="65" fillId="2" borderId="40" xfId="11" applyNumberFormat="1" applyFont="1" applyFill="1" applyBorder="1" applyAlignment="1" applyProtection="1">
      <alignment horizontal="center" vertical="center" wrapText="1"/>
    </xf>
    <xf numFmtId="169" fontId="65" fillId="2" borderId="51" xfId="11" applyNumberFormat="1" applyFont="1" applyFill="1" applyBorder="1" applyAlignment="1" applyProtection="1">
      <alignment horizontal="center" vertical="center" wrapText="1"/>
    </xf>
    <xf numFmtId="0" fontId="65" fillId="2" borderId="7" xfId="0" applyFont="1" applyFill="1" applyBorder="1" applyAlignment="1" applyProtection="1">
      <alignment horizontal="center" vertical="center" wrapText="1"/>
    </xf>
    <xf numFmtId="0" fontId="65" fillId="2" borderId="18" xfId="0" applyFont="1" applyFill="1" applyBorder="1" applyAlignment="1" applyProtection="1">
      <alignment horizontal="center" vertical="center" wrapText="1"/>
    </xf>
    <xf numFmtId="169" fontId="47" fillId="15" borderId="112" xfId="5" applyNumberFormat="1" applyFont="1" applyFill="1" applyBorder="1" applyAlignment="1" applyProtection="1">
      <alignment horizontal="center" vertical="center" wrapText="1"/>
    </xf>
    <xf numFmtId="169" fontId="47" fillId="15" borderId="113" xfId="5" applyNumberFormat="1" applyFont="1" applyFill="1" applyBorder="1" applyAlignment="1" applyProtection="1">
      <alignment horizontal="center" vertical="center" wrapText="1"/>
    </xf>
    <xf numFmtId="0" fontId="49" fillId="0" borderId="24"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51" xfId="0" applyFont="1" applyBorder="1" applyAlignment="1">
      <alignment horizontal="center" vertical="center" wrapText="1"/>
    </xf>
    <xf numFmtId="0" fontId="47" fillId="18" borderId="7" xfId="0" applyFont="1" applyFill="1" applyBorder="1" applyAlignment="1" applyProtection="1">
      <alignment horizontal="center" vertical="center" wrapText="1"/>
    </xf>
    <xf numFmtId="0" fontId="47" fillId="18" borderId="18" xfId="0" applyFont="1" applyFill="1" applyBorder="1" applyAlignment="1" applyProtection="1">
      <alignment horizontal="center" vertical="center" wrapText="1"/>
    </xf>
    <xf numFmtId="0" fontId="47" fillId="18" borderId="19" xfId="0" applyFont="1" applyFill="1" applyBorder="1" applyAlignment="1" applyProtection="1">
      <alignment horizontal="center" vertical="center" wrapText="1"/>
    </xf>
    <xf numFmtId="169" fontId="47" fillId="18" borderId="49" xfId="5" applyNumberFormat="1" applyFont="1" applyFill="1" applyBorder="1" applyAlignment="1" applyProtection="1">
      <alignment horizontal="center" vertical="center" wrapText="1"/>
    </xf>
    <xf numFmtId="169" fontId="47" fillId="18" borderId="30" xfId="5" applyNumberFormat="1" applyFont="1" applyFill="1" applyBorder="1" applyAlignment="1" applyProtection="1">
      <alignment horizontal="center" vertical="center" wrapText="1"/>
    </xf>
    <xf numFmtId="169" fontId="47" fillId="18" borderId="50" xfId="5" applyNumberFormat="1" applyFont="1" applyFill="1" applyBorder="1" applyAlignment="1" applyProtection="1">
      <alignment horizontal="center" vertical="center" wrapText="1"/>
    </xf>
    <xf numFmtId="169" fontId="47" fillId="15" borderId="85" xfId="5" applyNumberFormat="1" applyFont="1" applyFill="1" applyBorder="1" applyAlignment="1" applyProtection="1">
      <alignment horizontal="center" vertical="center" wrapText="1"/>
    </xf>
    <xf numFmtId="0" fontId="47" fillId="2" borderId="24" xfId="0" applyFont="1" applyFill="1" applyBorder="1" applyAlignment="1" applyProtection="1">
      <alignment horizontal="left" vertical="top" wrapText="1"/>
    </xf>
    <xf numFmtId="0" fontId="47" fillId="2" borderId="40" xfId="0" applyFont="1" applyFill="1" applyBorder="1" applyAlignment="1" applyProtection="1">
      <alignment horizontal="left" vertical="top" wrapText="1"/>
    </xf>
    <xf numFmtId="0" fontId="47" fillId="2" borderId="51" xfId="0" applyFont="1" applyFill="1" applyBorder="1" applyAlignment="1" applyProtection="1">
      <alignment horizontal="left" vertical="top" wrapText="1"/>
    </xf>
    <xf numFmtId="0" fontId="113" fillId="0" borderId="13" xfId="0" applyFont="1" applyBorder="1" applyAlignment="1">
      <alignment horizontal="center" wrapText="1"/>
    </xf>
    <xf numFmtId="0" fontId="44" fillId="17" borderId="11" xfId="0" applyFont="1" applyFill="1" applyBorder="1" applyAlignment="1" applyProtection="1">
      <alignment horizontal="left" vertical="top" wrapText="1"/>
    </xf>
    <xf numFmtId="0" fontId="44" fillId="17" borderId="0" xfId="0" applyFont="1" applyFill="1" applyBorder="1" applyAlignment="1" applyProtection="1">
      <alignment horizontal="left" vertical="top" wrapText="1"/>
    </xf>
    <xf numFmtId="169" fontId="47" fillId="2" borderId="30" xfId="0" applyNumberFormat="1" applyFont="1" applyFill="1" applyBorder="1" applyAlignment="1" applyProtection="1">
      <alignment horizontal="center" vertical="center" wrapText="1"/>
    </xf>
    <xf numFmtId="0" fontId="47" fillId="2" borderId="62" xfId="0" applyFont="1" applyFill="1" applyBorder="1" applyAlignment="1" applyProtection="1">
      <alignment horizontal="center" vertical="center" wrapText="1"/>
    </xf>
    <xf numFmtId="0" fontId="47" fillId="2" borderId="96" xfId="0" applyFont="1" applyFill="1" applyBorder="1" applyAlignment="1" applyProtection="1">
      <alignment horizontal="center" vertical="center" wrapText="1"/>
    </xf>
    <xf numFmtId="0" fontId="47" fillId="2" borderId="94" xfId="0" applyFont="1" applyFill="1" applyBorder="1" applyAlignment="1" applyProtection="1">
      <alignment horizontal="center" vertical="center" wrapText="1"/>
    </xf>
    <xf numFmtId="0" fontId="47" fillId="2" borderId="7" xfId="0" applyFont="1" applyFill="1" applyBorder="1" applyAlignment="1" applyProtection="1">
      <alignment horizontal="center" vertical="center" wrapText="1"/>
    </xf>
    <xf numFmtId="0" fontId="47" fillId="2" borderId="18" xfId="0" applyFont="1" applyFill="1" applyBorder="1" applyAlignment="1" applyProtection="1">
      <alignment horizontal="center" vertical="center" wrapText="1"/>
    </xf>
    <xf numFmtId="0" fontId="47" fillId="2" borderId="19" xfId="0" applyFont="1" applyFill="1" applyBorder="1" applyAlignment="1" applyProtection="1">
      <alignment horizontal="center" vertical="center" wrapText="1"/>
    </xf>
    <xf numFmtId="169" fontId="47" fillId="2" borderId="49" xfId="0" applyNumberFormat="1" applyFont="1" applyFill="1" applyBorder="1" applyAlignment="1" applyProtection="1">
      <alignment horizontal="center" vertical="center" wrapText="1"/>
    </xf>
    <xf numFmtId="169" fontId="47" fillId="2" borderId="50" xfId="0" applyNumberFormat="1" applyFont="1" applyFill="1" applyBorder="1" applyAlignment="1" applyProtection="1">
      <alignment horizontal="center" vertical="center" wrapText="1"/>
    </xf>
    <xf numFmtId="0" fontId="47" fillId="2" borderId="5" xfId="0" applyFont="1" applyFill="1" applyBorder="1" applyAlignment="1" applyProtection="1">
      <alignment horizontal="center" vertical="top" wrapText="1"/>
    </xf>
    <xf numFmtId="0" fontId="47" fillId="2" borderId="96" xfId="0" applyFont="1" applyFill="1" applyBorder="1" applyAlignment="1" applyProtection="1">
      <alignment horizontal="center" vertical="top" wrapText="1"/>
    </xf>
    <xf numFmtId="0" fontId="47" fillId="2" borderId="98" xfId="0" applyFont="1" applyFill="1" applyBorder="1" applyAlignment="1" applyProtection="1">
      <alignment horizontal="center" vertical="top" wrapText="1"/>
    </xf>
    <xf numFmtId="169" fontId="47" fillId="2" borderId="30" xfId="5" applyNumberFormat="1" applyFont="1" applyFill="1" applyBorder="1" applyAlignment="1" applyProtection="1">
      <alignment horizontal="center" vertical="center" wrapText="1"/>
    </xf>
    <xf numFmtId="0" fontId="47" fillId="2" borderId="40" xfId="0" applyFont="1" applyFill="1" applyBorder="1" applyAlignment="1" applyProtection="1">
      <alignment horizontal="center" vertical="top" wrapText="1"/>
    </xf>
    <xf numFmtId="0" fontId="47" fillId="2" borderId="24" xfId="0" applyFont="1" applyFill="1" applyBorder="1" applyAlignment="1" applyProtection="1">
      <alignment horizontal="center" vertical="top" wrapText="1"/>
    </xf>
    <xf numFmtId="0" fontId="47" fillId="2" borderId="51" xfId="0" applyFont="1" applyFill="1" applyBorder="1" applyAlignment="1" applyProtection="1">
      <alignment horizontal="center" vertical="top" wrapText="1"/>
    </xf>
    <xf numFmtId="0" fontId="47" fillId="2" borderId="5" xfId="0" applyFont="1" applyFill="1" applyBorder="1" applyAlignment="1" applyProtection="1">
      <alignment horizontal="center" vertical="center" wrapText="1"/>
    </xf>
    <xf numFmtId="0" fontId="47" fillId="2" borderId="98" xfId="0" applyFont="1" applyFill="1" applyBorder="1" applyAlignment="1" applyProtection="1">
      <alignment horizontal="center" vertical="center" wrapText="1"/>
    </xf>
    <xf numFmtId="0" fontId="21" fillId="0" borderId="0" xfId="0" applyFont="1" applyFill="1" applyBorder="1" applyAlignment="1" applyProtection="1">
      <alignment vertical="top" wrapText="1"/>
    </xf>
    <xf numFmtId="0" fontId="16" fillId="0" borderId="0" xfId="0" applyFont="1" applyFill="1" applyBorder="1" applyAlignment="1" applyProtection="1">
      <alignment vertical="top" wrapText="1"/>
      <protection locked="0"/>
    </xf>
    <xf numFmtId="0" fontId="16" fillId="0" borderId="0" xfId="0" applyFont="1" applyFill="1" applyBorder="1" applyAlignment="1" applyProtection="1">
      <alignment vertical="top" wrapText="1"/>
    </xf>
    <xf numFmtId="3" fontId="16" fillId="0" borderId="0" xfId="0" applyNumberFormat="1" applyFont="1" applyFill="1" applyBorder="1" applyAlignment="1" applyProtection="1">
      <alignment vertical="top" wrapText="1"/>
      <protection locked="0"/>
    </xf>
    <xf numFmtId="0" fontId="21" fillId="0" borderId="0" xfId="0" applyFont="1" applyFill="1" applyBorder="1" applyAlignment="1" applyProtection="1">
      <alignment horizontal="center" vertical="top" wrapText="1"/>
    </xf>
    <xf numFmtId="0" fontId="16" fillId="16" borderId="2" xfId="0" applyFont="1" applyFill="1" applyBorder="1" applyAlignment="1" applyProtection="1">
      <alignment horizontal="justify" vertical="top" wrapText="1"/>
    </xf>
    <xf numFmtId="0" fontId="16" fillId="16" borderId="117" xfId="0" applyFont="1" applyFill="1" applyBorder="1" applyAlignment="1" applyProtection="1">
      <alignment horizontal="justify" vertical="top" wrapText="1"/>
    </xf>
    <xf numFmtId="0" fontId="16" fillId="16" borderId="118" xfId="0" applyFont="1" applyFill="1" applyBorder="1" applyAlignment="1" applyProtection="1">
      <alignment horizontal="left" vertical="center" wrapText="1"/>
    </xf>
    <xf numFmtId="0" fontId="16" fillId="16" borderId="37" xfId="0" applyFont="1" applyFill="1" applyBorder="1" applyAlignment="1" applyProtection="1">
      <alignment horizontal="justify" vertical="center" wrapText="1"/>
    </xf>
    <xf numFmtId="0" fontId="10" fillId="16" borderId="37" xfId="0" applyFont="1" applyFill="1" applyBorder="1" applyAlignment="1" applyProtection="1">
      <alignment horizontal="justify" vertical="center" wrapText="1"/>
    </xf>
    <xf numFmtId="0" fontId="16" fillId="16" borderId="8" xfId="0" applyFont="1" applyFill="1" applyBorder="1" applyAlignment="1" applyProtection="1">
      <alignment horizontal="left" vertical="center" wrapText="1"/>
    </xf>
    <xf numFmtId="0" fontId="16" fillId="16" borderId="20" xfId="0" applyFont="1" applyFill="1" applyBorder="1" applyAlignment="1" applyProtection="1">
      <alignment horizontal="left" vertical="center" wrapText="1"/>
    </xf>
    <xf numFmtId="0" fontId="21" fillId="3" borderId="0" xfId="0" applyFont="1" applyFill="1" applyAlignment="1">
      <alignment horizontal="left" wrapText="1"/>
    </xf>
    <xf numFmtId="0" fontId="22" fillId="3" borderId="0" xfId="0" applyFont="1" applyFill="1" applyBorder="1" applyAlignment="1" applyProtection="1">
      <alignment horizontal="left" vertical="top" wrapText="1"/>
    </xf>
    <xf numFmtId="0" fontId="16" fillId="3" borderId="0" xfId="0" applyFont="1" applyFill="1" applyBorder="1" applyAlignment="1" applyProtection="1">
      <alignment horizontal="left" vertical="top" wrapText="1"/>
    </xf>
    <xf numFmtId="0" fontId="16" fillId="2" borderId="26" xfId="0" applyFont="1" applyFill="1" applyBorder="1" applyAlignment="1" applyProtection="1">
      <alignment horizontal="justify" vertical="top" wrapText="1"/>
    </xf>
    <xf numFmtId="0" fontId="16" fillId="2" borderId="8" xfId="0" applyFont="1" applyFill="1" applyBorder="1" applyAlignment="1" applyProtection="1">
      <alignment horizontal="justify" vertical="top" wrapText="1"/>
    </xf>
    <xf numFmtId="0" fontId="16" fillId="2" borderId="20" xfId="0" applyFont="1" applyFill="1" applyBorder="1" applyAlignment="1" applyProtection="1">
      <alignment horizontal="justify" vertical="top" wrapText="1"/>
    </xf>
    <xf numFmtId="0" fontId="21" fillId="2" borderId="21" xfId="0" applyFont="1" applyFill="1" applyBorder="1" applyAlignment="1" applyProtection="1">
      <alignment horizontal="center" vertical="top" wrapText="1"/>
    </xf>
    <xf numFmtId="0" fontId="21" fillId="2" borderId="9" xfId="0" applyFont="1" applyFill="1" applyBorder="1" applyAlignment="1" applyProtection="1">
      <alignment horizontal="center" vertical="top" wrapText="1"/>
    </xf>
    <xf numFmtId="0" fontId="10" fillId="16" borderId="124" xfId="0" applyFont="1" applyFill="1" applyBorder="1" applyAlignment="1" applyProtection="1">
      <alignment horizontal="justify" vertical="center" wrapText="1"/>
    </xf>
    <xf numFmtId="0" fontId="10" fillId="16" borderId="125" xfId="0" applyFont="1" applyFill="1" applyBorder="1" applyAlignment="1" applyProtection="1">
      <alignment horizontal="justify" vertical="center" wrapText="1"/>
    </xf>
    <xf numFmtId="0" fontId="16" fillId="16" borderId="117" xfId="0" applyFont="1" applyFill="1" applyBorder="1" applyAlignment="1" applyProtection="1">
      <alignment horizontal="left" vertical="top" wrapText="1"/>
    </xf>
    <xf numFmtId="0" fontId="16" fillId="16" borderId="117" xfId="0" applyFont="1" applyFill="1" applyBorder="1" applyAlignment="1" applyProtection="1">
      <alignment horizontal="justify" vertical="center" wrapText="1"/>
    </xf>
    <xf numFmtId="0" fontId="10" fillId="16" borderId="117" xfId="0" applyFont="1" applyFill="1" applyBorder="1" applyAlignment="1" applyProtection="1">
      <alignment horizontal="left" vertical="center" wrapText="1"/>
    </xf>
    <xf numFmtId="0" fontId="10" fillId="0" borderId="119" xfId="0" applyFont="1" applyFill="1" applyBorder="1" applyAlignment="1" applyProtection="1">
      <alignment horizontal="justify" vertical="top" wrapText="1"/>
    </xf>
    <xf numFmtId="0" fontId="10" fillId="0" borderId="96" xfId="0" applyFont="1" applyFill="1" applyBorder="1" applyAlignment="1" applyProtection="1">
      <alignment horizontal="justify" vertical="top" wrapText="1"/>
    </xf>
    <xf numFmtId="0" fontId="16" fillId="0" borderId="77" xfId="0" applyFont="1" applyFill="1" applyBorder="1" applyAlignment="1" applyProtection="1">
      <alignment horizontal="left" vertical="top" wrapText="1"/>
    </xf>
    <xf numFmtId="0" fontId="16" fillId="0" borderId="127" xfId="0" applyFont="1" applyFill="1" applyBorder="1" applyAlignment="1" applyProtection="1">
      <alignment horizontal="left" vertical="top" wrapText="1"/>
    </xf>
    <xf numFmtId="0" fontId="16" fillId="16" borderId="107" xfId="0" applyFont="1" applyFill="1" applyBorder="1" applyAlignment="1" applyProtection="1">
      <alignment horizontal="justify" vertical="top" wrapText="1"/>
    </xf>
    <xf numFmtId="0" fontId="16" fillId="16" borderId="98" xfId="0" applyFont="1" applyFill="1" applyBorder="1" applyAlignment="1" applyProtection="1">
      <alignment horizontal="justify" vertical="top" wrapText="1"/>
    </xf>
    <xf numFmtId="0" fontId="21" fillId="3" borderId="0" xfId="0" applyFont="1" applyFill="1" applyAlignment="1">
      <alignment horizontal="left"/>
    </xf>
    <xf numFmtId="0" fontId="22" fillId="3" borderId="0" xfId="0" applyFont="1" applyFill="1" applyAlignment="1">
      <alignment horizontal="left"/>
    </xf>
    <xf numFmtId="0" fontId="21" fillId="2" borderId="26" xfId="0" applyFont="1" applyFill="1" applyBorder="1" applyAlignment="1" applyProtection="1">
      <alignment horizontal="center"/>
    </xf>
    <xf numFmtId="0" fontId="21" fillId="2" borderId="8" xfId="0" applyFont="1" applyFill="1" applyBorder="1" applyAlignment="1" applyProtection="1">
      <alignment horizontal="center"/>
    </xf>
    <xf numFmtId="0" fontId="21" fillId="2" borderId="20" xfId="0" applyFont="1" applyFill="1" applyBorder="1" applyAlignment="1" applyProtection="1">
      <alignment horizontal="center"/>
    </xf>
    <xf numFmtId="0" fontId="16" fillId="3" borderId="13" xfId="0" applyFont="1" applyFill="1" applyBorder="1" applyAlignment="1" applyProtection="1">
      <alignment horizontal="center" wrapText="1"/>
    </xf>
    <xf numFmtId="0" fontId="16" fillId="3" borderId="0" xfId="0" applyFont="1" applyFill="1" applyBorder="1" applyAlignment="1" applyProtection="1">
      <alignment horizontal="center" wrapText="1"/>
    </xf>
    <xf numFmtId="0" fontId="16" fillId="3" borderId="0" xfId="0" applyFont="1" applyFill="1" applyBorder="1" applyAlignment="1" applyProtection="1">
      <alignment horizontal="center"/>
    </xf>
    <xf numFmtId="0" fontId="21" fillId="3" borderId="0" xfId="0" applyFont="1" applyFill="1" applyBorder="1" applyAlignment="1" applyProtection="1">
      <alignment horizontal="left" vertical="top" wrapText="1"/>
    </xf>
    <xf numFmtId="0" fontId="10" fillId="2" borderId="7" xfId="0" applyFont="1" applyFill="1" applyBorder="1" applyAlignment="1">
      <alignment horizontal="left" vertical="top" wrapText="1"/>
    </xf>
    <xf numFmtId="0" fontId="10" fillId="2" borderId="19" xfId="0" applyFont="1" applyFill="1" applyBorder="1" applyAlignment="1">
      <alignment horizontal="left" vertical="top" wrapText="1"/>
    </xf>
    <xf numFmtId="0" fontId="10" fillId="2" borderId="10" xfId="0" applyFont="1" applyFill="1" applyBorder="1" applyAlignment="1" applyProtection="1">
      <alignment horizontal="center" vertical="center" wrapText="1"/>
    </xf>
    <xf numFmtId="0" fontId="10" fillId="2" borderId="12" xfId="0" applyFont="1" applyFill="1" applyBorder="1" applyAlignment="1" applyProtection="1">
      <alignment horizontal="center" vertical="center" wrapText="1"/>
    </xf>
    <xf numFmtId="0" fontId="10" fillId="2" borderId="15" xfId="0" applyFont="1" applyFill="1" applyBorder="1" applyAlignment="1" applyProtection="1">
      <alignment horizontal="center" vertical="center" wrapText="1"/>
    </xf>
    <xf numFmtId="0" fontId="10" fillId="2" borderId="17" xfId="0" applyFont="1" applyFill="1" applyBorder="1" applyAlignment="1" applyProtection="1">
      <alignment horizontal="center" vertical="center" wrapText="1"/>
    </xf>
    <xf numFmtId="0" fontId="10" fillId="0" borderId="7" xfId="0" applyFont="1" applyFill="1" applyBorder="1" applyAlignment="1" applyProtection="1">
      <alignment horizontal="left" vertical="center" wrapText="1"/>
    </xf>
    <xf numFmtId="0" fontId="10" fillId="0" borderId="19" xfId="0" applyFont="1" applyFill="1" applyBorder="1" applyAlignment="1" applyProtection="1">
      <alignment horizontal="left" vertical="center" wrapText="1"/>
    </xf>
    <xf numFmtId="0" fontId="10" fillId="18" borderId="10" xfId="0" applyFont="1" applyFill="1" applyBorder="1" applyAlignment="1" applyProtection="1">
      <alignment horizontal="center" vertical="center" wrapText="1"/>
    </xf>
    <xf numFmtId="0" fontId="10" fillId="18" borderId="12" xfId="0" applyFont="1" applyFill="1" applyBorder="1" applyAlignment="1" applyProtection="1">
      <alignment horizontal="center" vertical="center" wrapText="1"/>
    </xf>
    <xf numFmtId="0" fontId="10" fillId="18" borderId="15" xfId="0" applyFont="1" applyFill="1" applyBorder="1" applyAlignment="1" applyProtection="1">
      <alignment horizontal="center" vertical="center" wrapText="1"/>
    </xf>
    <xf numFmtId="0" fontId="10" fillId="18" borderId="17" xfId="0" applyFont="1" applyFill="1" applyBorder="1" applyAlignment="1" applyProtection="1">
      <alignment horizontal="center" vertical="center" wrapText="1"/>
    </xf>
    <xf numFmtId="0" fontId="16" fillId="2" borderId="7" xfId="0" applyFont="1" applyFill="1" applyBorder="1" applyAlignment="1" applyProtection="1">
      <alignment horizontal="center" vertical="center" wrapText="1"/>
    </xf>
    <xf numFmtId="0" fontId="16" fillId="2" borderId="19"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xf>
    <xf numFmtId="0" fontId="10" fillId="0" borderId="19" xfId="0" applyFont="1" applyFill="1" applyBorder="1" applyAlignment="1" applyProtection="1">
      <alignment horizontal="center" vertical="center" wrapText="1"/>
    </xf>
    <xf numFmtId="0" fontId="16" fillId="2" borderId="10" xfId="0" applyFont="1" applyFill="1" applyBorder="1" applyAlignment="1" applyProtection="1">
      <alignment horizontal="left" vertical="center" wrapText="1"/>
    </xf>
    <xf numFmtId="0" fontId="16" fillId="2" borderId="11" xfId="0" applyFont="1" applyFill="1" applyBorder="1" applyAlignment="1" applyProtection="1">
      <alignment horizontal="left" vertical="center" wrapText="1"/>
    </xf>
    <xf numFmtId="0" fontId="16" fillId="2" borderId="12" xfId="0" applyFont="1" applyFill="1" applyBorder="1" applyAlignment="1" applyProtection="1">
      <alignment horizontal="left" vertical="center" wrapText="1"/>
    </xf>
    <xf numFmtId="0" fontId="16" fillId="2" borderId="13" xfId="0" applyFont="1" applyFill="1" applyBorder="1" applyAlignment="1" applyProtection="1">
      <alignment horizontal="left" vertical="center" wrapText="1"/>
    </xf>
    <xf numFmtId="0" fontId="16" fillId="2" borderId="0" xfId="0" applyFont="1" applyFill="1" applyBorder="1" applyAlignment="1" applyProtection="1">
      <alignment horizontal="left" vertical="center" wrapText="1"/>
    </xf>
    <xf numFmtId="0" fontId="16" fillId="2" borderId="14" xfId="0" applyFont="1" applyFill="1" applyBorder="1" applyAlignment="1" applyProtection="1">
      <alignment horizontal="left" vertical="center" wrapText="1"/>
    </xf>
    <xf numFmtId="0" fontId="16" fillId="2" borderId="15" xfId="0" applyFont="1" applyFill="1" applyBorder="1" applyAlignment="1" applyProtection="1">
      <alignment horizontal="left" vertical="center" wrapText="1"/>
    </xf>
    <xf numFmtId="0" fontId="16" fillId="2" borderId="16" xfId="0" applyFont="1" applyFill="1" applyBorder="1" applyAlignment="1" applyProtection="1">
      <alignment horizontal="left" vertical="center" wrapText="1"/>
    </xf>
    <xf numFmtId="0" fontId="16" fillId="2" borderId="17" xfId="0" applyFont="1" applyFill="1" applyBorder="1" applyAlignment="1" applyProtection="1">
      <alignment horizontal="left" vertical="center" wrapText="1"/>
    </xf>
    <xf numFmtId="0" fontId="64" fillId="2" borderId="26" xfId="1" applyFont="1" applyFill="1" applyBorder="1" applyAlignment="1" applyProtection="1">
      <alignment horizontal="left"/>
      <protection locked="0"/>
    </xf>
    <xf numFmtId="0" fontId="10" fillId="2" borderId="8" xfId="0" applyFont="1" applyFill="1" applyBorder="1" applyAlignment="1" applyProtection="1">
      <alignment horizontal="left"/>
      <protection locked="0"/>
    </xf>
    <xf numFmtId="0" fontId="10" fillId="2" borderId="20" xfId="0" applyFont="1" applyFill="1" applyBorder="1" applyAlignment="1" applyProtection="1">
      <alignment horizontal="left"/>
      <protection locked="0"/>
    </xf>
    <xf numFmtId="0" fontId="11" fillId="3" borderId="16" xfId="0" applyFont="1" applyFill="1" applyBorder="1" applyAlignment="1" applyProtection="1">
      <alignment horizontal="center" vertical="center" wrapText="1"/>
    </xf>
    <xf numFmtId="0" fontId="10" fillId="2" borderId="26" xfId="0" applyFont="1" applyFill="1" applyBorder="1" applyAlignment="1" applyProtection="1">
      <alignment horizontal="center" vertical="center" wrapText="1"/>
    </xf>
    <xf numFmtId="0" fontId="10" fillId="2" borderId="20" xfId="0" applyFont="1" applyFill="1" applyBorder="1" applyAlignment="1" applyProtection="1">
      <alignment horizontal="center" vertical="center" wrapText="1"/>
    </xf>
    <xf numFmtId="0" fontId="10" fillId="18" borderId="1" xfId="0" applyFont="1" applyFill="1" applyBorder="1" applyAlignment="1" applyProtection="1">
      <alignment horizontal="left" vertical="center" wrapText="1"/>
    </xf>
    <xf numFmtId="0" fontId="10" fillId="15" borderId="1" xfId="0" applyFont="1" applyFill="1" applyBorder="1" applyAlignment="1" applyProtection="1">
      <alignment horizontal="left" vertical="center" wrapText="1"/>
    </xf>
    <xf numFmtId="0" fontId="10" fillId="2" borderId="26" xfId="0" applyFont="1" applyFill="1" applyBorder="1" applyAlignment="1" applyProtection="1">
      <alignment horizontal="left"/>
      <protection locked="0"/>
    </xf>
    <xf numFmtId="0" fontId="10" fillId="2" borderId="26" xfId="0" applyFont="1" applyFill="1" applyBorder="1" applyAlignment="1" applyProtection="1">
      <alignment horizontal="left" vertical="center" wrapText="1"/>
    </xf>
    <xf numFmtId="0" fontId="10" fillId="2" borderId="20" xfId="0" applyFont="1" applyFill="1" applyBorder="1" applyAlignment="1" applyProtection="1">
      <alignment horizontal="left" vertical="center" wrapText="1"/>
    </xf>
    <xf numFmtId="0" fontId="16" fillId="2" borderId="63" xfId="0" applyFont="1" applyFill="1" applyBorder="1" applyAlignment="1" applyProtection="1">
      <alignment horizontal="left" vertical="center" wrapText="1"/>
    </xf>
    <xf numFmtId="0" fontId="16" fillId="2" borderId="64" xfId="0" applyFont="1" applyFill="1" applyBorder="1" applyAlignment="1" applyProtection="1">
      <alignment horizontal="left" vertical="center" wrapText="1"/>
    </xf>
    <xf numFmtId="0" fontId="16" fillId="2" borderId="65" xfId="0" applyFont="1" applyFill="1" applyBorder="1" applyAlignment="1" applyProtection="1">
      <alignment horizontal="left" vertical="center" wrapText="1"/>
    </xf>
    <xf numFmtId="0" fontId="16" fillId="2" borderId="27" xfId="0" applyFont="1" applyFill="1" applyBorder="1" applyAlignment="1" applyProtection="1">
      <alignment horizontal="left" vertical="center" wrapText="1"/>
    </xf>
    <xf numFmtId="0" fontId="16" fillId="2" borderId="28" xfId="0" applyFont="1" applyFill="1" applyBorder="1" applyAlignment="1" applyProtection="1">
      <alignment horizontal="left" vertical="center" wrapText="1"/>
    </xf>
    <xf numFmtId="0" fontId="16" fillId="2" borderId="29" xfId="0" applyFont="1" applyFill="1" applyBorder="1" applyAlignment="1" applyProtection="1">
      <alignment horizontal="left" vertical="center" wrapText="1"/>
    </xf>
    <xf numFmtId="0" fontId="16" fillId="2" borderId="48" xfId="0" applyFont="1" applyFill="1" applyBorder="1" applyAlignment="1" applyProtection="1">
      <alignment horizontal="left" vertical="center" wrapText="1"/>
    </xf>
    <xf numFmtId="0" fontId="16" fillId="2" borderId="44" xfId="0" applyFont="1" applyFill="1" applyBorder="1" applyAlignment="1" applyProtection="1">
      <alignment horizontal="left" vertical="center" wrapText="1"/>
    </xf>
    <xf numFmtId="0" fontId="16" fillId="2" borderId="47" xfId="0" applyFont="1" applyFill="1" applyBorder="1" applyAlignment="1" applyProtection="1">
      <alignment horizontal="left" vertical="center" wrapText="1"/>
    </xf>
    <xf numFmtId="0" fontId="14" fillId="3" borderId="0" xfId="0" applyFont="1" applyFill="1" applyBorder="1" applyAlignment="1" applyProtection="1">
      <alignment horizontal="left" vertical="center" wrapText="1"/>
    </xf>
    <xf numFmtId="0" fontId="22" fillId="3" borderId="11" xfId="0" applyFont="1" applyFill="1" applyBorder="1" applyAlignment="1" applyProtection="1">
      <alignment horizontal="center" wrapText="1"/>
    </xf>
    <xf numFmtId="0" fontId="22" fillId="3" borderId="0" xfId="0" applyFont="1" applyFill="1" applyBorder="1" applyAlignment="1" applyProtection="1">
      <alignment horizontal="left" vertical="center" wrapText="1"/>
    </xf>
    <xf numFmtId="0" fontId="10" fillId="18" borderId="1" xfId="0" applyFont="1" applyFill="1" applyBorder="1" applyAlignment="1" applyProtection="1">
      <alignment vertical="center" wrapText="1"/>
    </xf>
    <xf numFmtId="0" fontId="42" fillId="2" borderId="26" xfId="1" applyFont="1" applyFill="1" applyBorder="1" applyAlignment="1" applyProtection="1">
      <alignment horizontal="left"/>
      <protection locked="0"/>
    </xf>
    <xf numFmtId="0" fontId="22" fillId="3" borderId="0" xfId="0" applyFont="1" applyFill="1" applyBorder="1" applyAlignment="1" applyProtection="1">
      <alignment horizontal="left"/>
    </xf>
    <xf numFmtId="0" fontId="10" fillId="18" borderId="19" xfId="0" applyFont="1" applyFill="1" applyBorder="1" applyAlignment="1" applyProtection="1">
      <alignment horizontal="left" vertical="center" wrapText="1"/>
    </xf>
    <xf numFmtId="0" fontId="10" fillId="15" borderId="1"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10" fillId="15" borderId="10" xfId="0" applyFont="1" applyFill="1" applyBorder="1" applyAlignment="1" applyProtection="1">
      <alignment horizontal="center" vertical="center" wrapText="1"/>
    </xf>
    <xf numFmtId="0" fontId="10" fillId="15" borderId="12" xfId="0" applyFont="1" applyFill="1" applyBorder="1" applyAlignment="1" applyProtection="1">
      <alignment horizontal="center" vertical="center" wrapText="1"/>
    </xf>
    <xf numFmtId="0" fontId="10" fillId="15" borderId="15" xfId="0" applyFont="1" applyFill="1" applyBorder="1" applyAlignment="1" applyProtection="1">
      <alignment horizontal="center" vertical="center" wrapText="1"/>
    </xf>
    <xf numFmtId="0" fontId="10" fillId="15" borderId="17" xfId="0" applyFont="1" applyFill="1" applyBorder="1" applyAlignment="1" applyProtection="1">
      <alignment horizontal="center" vertical="center" wrapText="1"/>
    </xf>
    <xf numFmtId="0" fontId="10" fillId="2" borderId="13" xfId="0" applyFont="1" applyFill="1" applyBorder="1" applyAlignment="1" applyProtection="1">
      <alignment horizontal="center" vertical="center" wrapText="1"/>
    </xf>
    <xf numFmtId="0" fontId="10" fillId="2" borderId="14" xfId="0" applyFont="1" applyFill="1" applyBorder="1" applyAlignment="1" applyProtection="1">
      <alignment horizontal="center" vertical="center" wrapText="1"/>
    </xf>
    <xf numFmtId="0" fontId="10" fillId="2" borderId="10" xfId="0" applyFont="1" applyFill="1" applyBorder="1" applyAlignment="1" applyProtection="1">
      <alignment horizontal="justify" vertical="center" wrapText="1"/>
    </xf>
    <xf numFmtId="0" fontId="10" fillId="2" borderId="11" xfId="0" applyFont="1" applyFill="1" applyBorder="1" applyAlignment="1" applyProtection="1">
      <alignment horizontal="justify" vertical="center" wrapText="1"/>
    </xf>
    <xf numFmtId="0" fontId="10" fillId="2" borderId="12" xfId="0" applyFont="1" applyFill="1" applyBorder="1" applyAlignment="1" applyProtection="1">
      <alignment horizontal="justify" vertical="center" wrapText="1"/>
    </xf>
    <xf numFmtId="0" fontId="10" fillId="2" borderId="13" xfId="0" applyFont="1" applyFill="1" applyBorder="1" applyAlignment="1" applyProtection="1">
      <alignment horizontal="justify" vertical="center" wrapText="1"/>
    </xf>
    <xf numFmtId="0" fontId="10" fillId="2" borderId="0" xfId="0" applyFont="1" applyFill="1" applyBorder="1" applyAlignment="1" applyProtection="1">
      <alignment horizontal="justify" vertical="center" wrapText="1"/>
    </xf>
    <xf numFmtId="0" fontId="10" fillId="2" borderId="14" xfId="0" applyFont="1" applyFill="1" applyBorder="1" applyAlignment="1" applyProtection="1">
      <alignment horizontal="justify" vertical="center" wrapText="1"/>
    </xf>
    <xf numFmtId="0" fontId="10" fillId="2" borderId="15" xfId="0" applyFont="1" applyFill="1" applyBorder="1" applyAlignment="1" applyProtection="1">
      <alignment horizontal="justify" vertical="center" wrapText="1"/>
    </xf>
    <xf numFmtId="0" fontId="10" fillId="2" borderId="16" xfId="0" applyFont="1" applyFill="1" applyBorder="1" applyAlignment="1" applyProtection="1">
      <alignment horizontal="justify" vertical="center" wrapText="1"/>
    </xf>
    <xf numFmtId="0" fontId="10" fillId="2" borderId="17" xfId="0" applyFont="1" applyFill="1" applyBorder="1" applyAlignment="1" applyProtection="1">
      <alignment horizontal="justify" vertical="center" wrapText="1"/>
    </xf>
    <xf numFmtId="0" fontId="10" fillId="2" borderId="7"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6" fillId="2" borderId="118" xfId="0" applyFont="1" applyFill="1" applyBorder="1" applyAlignment="1" applyProtection="1">
      <alignment horizontal="left" vertical="center" wrapText="1"/>
    </xf>
    <xf numFmtId="0" fontId="16" fillId="2" borderId="116" xfId="0" applyFont="1" applyFill="1" applyBorder="1" applyAlignment="1" applyProtection="1">
      <alignment horizontal="left" vertical="center" wrapText="1"/>
    </xf>
    <xf numFmtId="0" fontId="16" fillId="17" borderId="18" xfId="0" applyFont="1" applyFill="1" applyBorder="1" applyAlignment="1" applyProtection="1">
      <alignment horizontal="left" vertical="center" wrapText="1"/>
    </xf>
    <xf numFmtId="0" fontId="16" fillId="2" borderId="67" xfId="0" applyFont="1" applyFill="1" applyBorder="1" applyAlignment="1" applyProtection="1">
      <alignment horizontal="left" vertical="center" wrapText="1"/>
    </xf>
    <xf numFmtId="0" fontId="16" fillId="2" borderId="41" xfId="0" applyFont="1" applyFill="1" applyBorder="1" applyAlignment="1" applyProtection="1">
      <alignment horizontal="left" vertical="center" wrapText="1"/>
    </xf>
    <xf numFmtId="0" fontId="16" fillId="2" borderId="68" xfId="0" applyFont="1" applyFill="1" applyBorder="1" applyAlignment="1" applyProtection="1">
      <alignment horizontal="left" vertical="center" wrapText="1"/>
    </xf>
    <xf numFmtId="0" fontId="16" fillId="2" borderId="69" xfId="0" applyFont="1" applyFill="1" applyBorder="1" applyAlignment="1" applyProtection="1">
      <alignment horizontal="left" vertical="center" wrapText="1"/>
    </xf>
    <xf numFmtId="0" fontId="16" fillId="2" borderId="57" xfId="0" applyFont="1" applyFill="1" applyBorder="1" applyAlignment="1" applyProtection="1">
      <alignment horizontal="left" vertical="center" wrapText="1"/>
    </xf>
    <xf numFmtId="0" fontId="16" fillId="2" borderId="59" xfId="0" applyFont="1" applyFill="1" applyBorder="1" applyAlignment="1" applyProtection="1">
      <alignment horizontal="left" vertical="center" wrapText="1"/>
    </xf>
    <xf numFmtId="0" fontId="16" fillId="2" borderId="115" xfId="8" applyFont="1" applyFill="1" applyBorder="1" applyAlignment="1" applyProtection="1">
      <alignment horizontal="justify" vertical="center" wrapText="1"/>
    </xf>
    <xf numFmtId="0" fontId="16" fillId="2" borderId="59" xfId="8" applyFont="1" applyFill="1" applyBorder="1" applyAlignment="1" applyProtection="1">
      <alignment horizontal="justify" vertical="center" wrapText="1"/>
    </xf>
    <xf numFmtId="0" fontId="16" fillId="0" borderId="8" xfId="0" applyFont="1" applyBorder="1" applyAlignment="1"/>
    <xf numFmtId="0" fontId="16" fillId="0" borderId="20" xfId="0" applyFont="1" applyBorder="1" applyAlignment="1"/>
    <xf numFmtId="0" fontId="22" fillId="3" borderId="11" xfId="0" applyFont="1" applyFill="1" applyBorder="1" applyAlignment="1">
      <alignment horizontal="center"/>
    </xf>
    <xf numFmtId="0" fontId="22" fillId="3" borderId="0" xfId="0" applyFont="1" applyFill="1" applyBorder="1" applyAlignment="1" applyProtection="1">
      <alignment horizontal="center" wrapText="1"/>
    </xf>
    <xf numFmtId="0" fontId="21" fillId="2" borderId="21" xfId="0" applyFont="1" applyFill="1" applyBorder="1" applyAlignment="1" applyProtection="1">
      <alignment horizontal="center" vertical="center" wrapText="1"/>
    </xf>
    <xf numFmtId="0" fontId="21" fillId="2" borderId="22" xfId="0" applyFont="1" applyFill="1" applyBorder="1" applyAlignment="1" applyProtection="1">
      <alignment horizontal="center" vertical="center" wrapText="1"/>
    </xf>
    <xf numFmtId="0" fontId="16" fillId="2" borderId="2" xfId="0" applyFont="1" applyFill="1" applyBorder="1" applyAlignment="1" applyProtection="1">
      <alignment horizontal="left" vertical="center" wrapText="1"/>
    </xf>
    <xf numFmtId="0" fontId="22" fillId="3" borderId="0" xfId="0" applyFont="1" applyFill="1" applyBorder="1" applyAlignment="1" applyProtection="1">
      <alignment horizontal="center" vertical="center" wrapText="1"/>
    </xf>
    <xf numFmtId="0" fontId="16" fillId="2" borderId="71" xfId="0" applyFont="1" applyFill="1" applyBorder="1" applyAlignment="1" applyProtection="1">
      <alignment horizontal="left" vertical="center" wrapText="1"/>
    </xf>
    <xf numFmtId="0" fontId="16" fillId="2" borderId="70" xfId="0" applyFont="1" applyFill="1" applyBorder="1" applyAlignment="1" applyProtection="1">
      <alignment horizontal="left" vertical="center" wrapText="1"/>
    </xf>
    <xf numFmtId="0" fontId="16" fillId="2" borderId="56" xfId="0" applyFont="1" applyFill="1" applyBorder="1" applyAlignment="1" applyProtection="1">
      <alignment horizontal="justify" vertical="center" wrapText="1"/>
    </xf>
    <xf numFmtId="0" fontId="16" fillId="2" borderId="57" xfId="0" applyFont="1" applyFill="1" applyBorder="1" applyAlignment="1" applyProtection="1">
      <alignment horizontal="justify" vertical="center" wrapText="1"/>
    </xf>
    <xf numFmtId="0" fontId="16" fillId="2" borderId="126" xfId="0" applyFont="1" applyFill="1" applyBorder="1" applyAlignment="1" applyProtection="1">
      <alignment horizontal="left" vertical="center" wrapText="1"/>
    </xf>
    <xf numFmtId="0" fontId="26" fillId="8" borderId="122" xfId="4" applyBorder="1" applyAlignment="1" applyProtection="1">
      <alignment horizontal="center" vertical="center"/>
      <protection locked="0"/>
    </xf>
    <xf numFmtId="0" fontId="26" fillId="8" borderId="145" xfId="4" applyBorder="1" applyAlignment="1" applyProtection="1">
      <alignment horizontal="center" vertical="center"/>
      <protection locked="0"/>
    </xf>
    <xf numFmtId="0" fontId="26" fillId="12" borderId="122" xfId="4" applyFill="1" applyBorder="1" applyAlignment="1" applyProtection="1">
      <alignment horizontal="center" vertical="center" wrapText="1"/>
      <protection locked="0"/>
    </xf>
    <xf numFmtId="0" fontId="26" fillId="12" borderId="145" xfId="4" applyFill="1" applyBorder="1" applyAlignment="1" applyProtection="1">
      <alignment horizontal="center" vertical="center" wrapText="1"/>
      <protection locked="0"/>
    </xf>
    <xf numFmtId="0" fontId="0" fillId="0" borderId="119" xfId="0" applyBorder="1" applyAlignment="1" applyProtection="1">
      <alignment horizontal="center" vertical="center" wrapText="1"/>
    </xf>
    <xf numFmtId="0" fontId="0" fillId="0" borderId="45" xfId="0" applyBorder="1" applyAlignment="1" applyProtection="1">
      <alignment horizontal="left" vertical="center" wrapText="1"/>
    </xf>
    <xf numFmtId="0" fontId="0" fillId="0" borderId="30" xfId="0" applyBorder="1" applyAlignment="1" applyProtection="1">
      <alignment horizontal="left" vertical="center" wrapText="1"/>
    </xf>
    <xf numFmtId="0" fontId="0" fillId="0" borderId="61" xfId="0" applyBorder="1" applyAlignment="1" applyProtection="1">
      <alignment horizontal="left" vertical="center" wrapText="1"/>
    </xf>
    <xf numFmtId="0" fontId="29" fillId="11" borderId="73" xfId="0" applyFont="1" applyFill="1" applyBorder="1" applyAlignment="1" applyProtection="1">
      <alignment horizontal="center" vertical="center" wrapText="1"/>
    </xf>
    <xf numFmtId="0" fontId="29" fillId="11" borderId="42" xfId="0" applyFont="1" applyFill="1" applyBorder="1" applyAlignment="1" applyProtection="1">
      <alignment horizontal="center" vertical="center" wrapText="1"/>
    </xf>
    <xf numFmtId="0" fontId="34" fillId="8" borderId="73" xfId="4" applyFont="1" applyBorder="1" applyAlignment="1" applyProtection="1">
      <alignment horizontal="center" vertical="center"/>
      <protection locked="0"/>
    </xf>
    <xf numFmtId="0" fontId="34" fillId="8" borderId="42" xfId="4" applyFont="1" applyBorder="1" applyAlignment="1" applyProtection="1">
      <alignment horizontal="center" vertical="center"/>
      <protection locked="0"/>
    </xf>
    <xf numFmtId="0" fontId="34" fillId="12" borderId="73" xfId="4" applyFont="1" applyFill="1" applyBorder="1" applyAlignment="1" applyProtection="1">
      <alignment horizontal="center" vertical="center"/>
      <protection locked="0"/>
    </xf>
    <xf numFmtId="0" fontId="34" fillId="12" borderId="42" xfId="4" applyFont="1" applyFill="1" applyBorder="1" applyAlignment="1" applyProtection="1">
      <alignment horizontal="center" vertical="center"/>
      <protection locked="0"/>
    </xf>
    <xf numFmtId="0" fontId="0" fillId="10" borderId="26" xfId="0" applyFill="1" applyBorder="1" applyAlignment="1" applyProtection="1">
      <alignment horizontal="center" vertical="center"/>
    </xf>
    <xf numFmtId="0" fontId="0" fillId="10" borderId="8" xfId="0" applyFill="1" applyBorder="1" applyAlignment="1" applyProtection="1">
      <alignment horizontal="center" vertical="center"/>
    </xf>
    <xf numFmtId="0" fontId="0" fillId="10" borderId="20" xfId="0" applyFill="1" applyBorder="1" applyAlignment="1" applyProtection="1">
      <alignment horizontal="center" vertical="center"/>
    </xf>
    <xf numFmtId="0" fontId="0" fillId="10" borderId="45"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29" fillId="11" borderId="25" xfId="0" applyFont="1" applyFill="1" applyBorder="1" applyAlignment="1" applyProtection="1">
      <alignment horizontal="center" vertical="center"/>
    </xf>
    <xf numFmtId="0" fontId="29" fillId="11" borderId="28" xfId="0" applyFont="1" applyFill="1" applyBorder="1" applyAlignment="1" applyProtection="1">
      <alignment horizontal="center" vertical="center"/>
    </xf>
    <xf numFmtId="0" fontId="29" fillId="11" borderId="29" xfId="0" applyFont="1" applyFill="1" applyBorder="1" applyAlignment="1" applyProtection="1">
      <alignment horizontal="center" vertical="center"/>
    </xf>
    <xf numFmtId="0" fontId="26" fillId="8" borderId="73" xfId="4" applyBorder="1" applyAlignment="1" applyProtection="1">
      <alignment horizontal="left" vertical="center" wrapText="1"/>
      <protection locked="0"/>
    </xf>
    <xf numFmtId="0" fontId="26" fillId="8" borderId="44" xfId="4" applyBorder="1" applyAlignment="1" applyProtection="1">
      <alignment horizontal="left" vertical="center" wrapText="1"/>
      <protection locked="0"/>
    </xf>
    <xf numFmtId="0" fontId="26" fillId="8" borderId="47" xfId="4" applyBorder="1" applyAlignment="1" applyProtection="1">
      <alignment horizontal="left" vertical="center" wrapText="1"/>
      <protection locked="0"/>
    </xf>
    <xf numFmtId="0" fontId="26" fillId="12" borderId="73" xfId="4" applyFill="1" applyBorder="1" applyAlignment="1" applyProtection="1">
      <alignment horizontal="left" vertical="center" wrapText="1"/>
      <protection locked="0"/>
    </xf>
    <xf numFmtId="0" fontId="26" fillId="12" borderId="44" xfId="4" applyFill="1" applyBorder="1" applyAlignment="1" applyProtection="1">
      <alignment horizontal="left" vertical="center" wrapText="1"/>
      <protection locked="0"/>
    </xf>
    <xf numFmtId="0" fontId="26" fillId="12" borderId="47" xfId="4" applyFill="1" applyBorder="1" applyAlignment="1" applyProtection="1">
      <alignment horizontal="left" vertical="center" wrapText="1"/>
      <protection locked="0"/>
    </xf>
    <xf numFmtId="0" fontId="0" fillId="0" borderId="45" xfId="0"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61" xfId="0" applyBorder="1" applyAlignment="1" applyProtection="1">
      <alignment horizontal="center" vertical="center" wrapText="1"/>
    </xf>
    <xf numFmtId="0" fontId="0" fillId="0" borderId="60" xfId="0" applyBorder="1" applyAlignment="1" applyProtection="1">
      <alignment horizontal="left" vertical="center" wrapText="1"/>
    </xf>
    <xf numFmtId="0" fontId="0" fillId="0" borderId="58" xfId="0" applyBorder="1" applyAlignment="1" applyProtection="1">
      <alignment horizontal="left" vertical="center" wrapText="1"/>
    </xf>
    <xf numFmtId="0" fontId="0" fillId="10" borderId="45" xfId="0" applyFill="1" applyBorder="1" applyAlignment="1" applyProtection="1">
      <alignment horizontal="center" vertical="center" wrapText="1"/>
    </xf>
    <xf numFmtId="0" fontId="0" fillId="10" borderId="30" xfId="0" applyFill="1" applyBorder="1" applyAlignment="1" applyProtection="1">
      <alignment horizontal="center" vertical="center" wrapText="1"/>
    </xf>
    <xf numFmtId="0" fontId="26" fillId="8" borderId="73" xfId="4" applyBorder="1" applyAlignment="1" applyProtection="1">
      <alignment horizontal="center" vertical="center" wrapText="1"/>
      <protection locked="0"/>
    </xf>
    <xf numFmtId="0" fontId="26" fillId="8" borderId="47" xfId="4" applyBorder="1" applyAlignment="1" applyProtection="1">
      <alignment horizontal="center" vertical="center" wrapText="1"/>
      <protection locked="0"/>
    </xf>
    <xf numFmtId="10" fontId="26" fillId="12" borderId="73" xfId="4" applyNumberFormat="1" applyFill="1" applyBorder="1" applyAlignment="1" applyProtection="1">
      <alignment horizontal="center" vertical="center"/>
      <protection locked="0"/>
    </xf>
    <xf numFmtId="10" fontId="26" fillId="12" borderId="42" xfId="4" applyNumberFormat="1" applyFill="1" applyBorder="1" applyAlignment="1" applyProtection="1">
      <alignment horizontal="center" vertical="center"/>
      <protection locked="0"/>
    </xf>
    <xf numFmtId="0" fontId="26" fillId="9" borderId="45" xfId="4" applyFill="1" applyBorder="1" applyAlignment="1" applyProtection="1">
      <alignment horizontal="center" vertical="center"/>
      <protection locked="0"/>
    </xf>
    <xf numFmtId="0" fontId="26" fillId="9" borderId="61" xfId="4" applyFill="1" applyBorder="1" applyAlignment="1" applyProtection="1">
      <alignment horizontal="center" vertical="center"/>
      <protection locked="0"/>
    </xf>
    <xf numFmtId="0" fontId="26" fillId="8" borderId="45" xfId="4" applyBorder="1" applyAlignment="1" applyProtection="1">
      <alignment horizontal="center" vertical="center"/>
      <protection locked="0"/>
    </xf>
    <xf numFmtId="0" fontId="26" fillId="8" borderId="61" xfId="4" applyBorder="1" applyAlignment="1" applyProtection="1">
      <alignment horizontal="center" vertical="center"/>
      <protection locked="0"/>
    </xf>
    <xf numFmtId="0" fontId="26" fillId="8" borderId="46" xfId="4" applyBorder="1" applyAlignment="1" applyProtection="1">
      <alignment horizontal="center" vertical="center"/>
      <protection locked="0"/>
    </xf>
    <xf numFmtId="0" fontId="26" fillId="8" borderId="62" xfId="4" applyBorder="1" applyAlignment="1" applyProtection="1">
      <alignment horizontal="center" vertical="center"/>
      <protection locked="0"/>
    </xf>
    <xf numFmtId="0" fontId="26" fillId="12" borderId="45" xfId="4" applyFill="1" applyBorder="1" applyAlignment="1" applyProtection="1">
      <alignment horizontal="center" vertical="center"/>
      <protection locked="0"/>
    </xf>
    <xf numFmtId="0" fontId="26" fillId="12" borderId="61" xfId="4" applyFill="1" applyBorder="1" applyAlignment="1" applyProtection="1">
      <alignment horizontal="center" vertical="center"/>
      <protection locked="0"/>
    </xf>
    <xf numFmtId="0" fontId="26" fillId="12" borderId="46" xfId="4" applyFill="1" applyBorder="1" applyAlignment="1" applyProtection="1">
      <alignment horizontal="center" vertical="center"/>
      <protection locked="0"/>
    </xf>
    <xf numFmtId="0" fontId="26" fillId="12" borderId="62" xfId="4" applyFill="1" applyBorder="1" applyAlignment="1" applyProtection="1">
      <alignment horizontal="center" vertical="center"/>
      <protection locked="0"/>
    </xf>
    <xf numFmtId="0" fontId="31" fillId="12" borderId="45" xfId="4" applyFont="1" applyFill="1" applyBorder="1" applyAlignment="1" applyProtection="1">
      <alignment horizontal="center" vertical="center"/>
      <protection locked="0"/>
    </xf>
    <xf numFmtId="0" fontId="31" fillId="12" borderId="61" xfId="4" applyFont="1" applyFill="1" applyBorder="1" applyAlignment="1" applyProtection="1">
      <alignment horizontal="center" vertical="center"/>
      <protection locked="0"/>
    </xf>
    <xf numFmtId="0" fontId="0" fillId="0" borderId="74" xfId="0" applyBorder="1" applyAlignment="1" applyProtection="1">
      <alignment horizontal="center" vertical="center" wrapText="1"/>
    </xf>
    <xf numFmtId="0" fontId="31" fillId="9" borderId="45" xfId="4" applyFont="1" applyFill="1" applyBorder="1" applyAlignment="1" applyProtection="1">
      <alignment horizontal="center" vertical="center"/>
      <protection locked="0"/>
    </xf>
    <xf numFmtId="0" fontId="31" fillId="9" borderId="61" xfId="4" applyFont="1" applyFill="1" applyBorder="1" applyAlignment="1" applyProtection="1">
      <alignment horizontal="center" vertical="center"/>
      <protection locked="0"/>
    </xf>
    <xf numFmtId="0" fontId="0" fillId="10" borderId="33" xfId="0" applyFill="1" applyBorder="1" applyAlignment="1" applyProtection="1">
      <alignment horizontal="center" vertical="center"/>
    </xf>
    <xf numFmtId="0" fontId="0" fillId="10" borderId="34" xfId="0" applyFill="1" applyBorder="1" applyAlignment="1" applyProtection="1">
      <alignment horizontal="center" vertical="center"/>
    </xf>
    <xf numFmtId="0" fontId="0" fillId="10" borderId="9" xfId="0" applyFill="1" applyBorder="1" applyAlignment="1" applyProtection="1">
      <alignment horizontal="center" vertical="center"/>
    </xf>
    <xf numFmtId="0" fontId="29" fillId="11" borderId="32" xfId="0" applyFont="1" applyFill="1" applyBorder="1" applyAlignment="1" applyProtection="1">
      <alignment horizontal="center" vertical="center"/>
    </xf>
    <xf numFmtId="0" fontId="29" fillId="11" borderId="27" xfId="0" applyFont="1" applyFill="1" applyBorder="1" applyAlignment="1" applyProtection="1">
      <alignment horizontal="center" vertical="center"/>
    </xf>
    <xf numFmtId="0" fontId="26" fillId="8" borderId="42" xfId="4" applyBorder="1" applyAlignment="1" applyProtection="1">
      <alignment horizontal="center" vertical="center" wrapText="1"/>
      <protection locked="0"/>
    </xf>
    <xf numFmtId="0" fontId="26" fillId="8" borderId="73" xfId="4" applyBorder="1" applyAlignment="1" applyProtection="1">
      <alignment horizontal="center" vertical="center"/>
      <protection locked="0"/>
    </xf>
    <xf numFmtId="0" fontId="26" fillId="8" borderId="42" xfId="4" applyBorder="1" applyAlignment="1" applyProtection="1">
      <alignment horizontal="center" vertical="center"/>
      <protection locked="0"/>
    </xf>
    <xf numFmtId="0" fontId="26" fillId="12" borderId="73" xfId="4" applyFill="1" applyBorder="1" applyAlignment="1" applyProtection="1">
      <alignment horizontal="center" vertical="center"/>
      <protection locked="0"/>
    </xf>
    <xf numFmtId="0" fontId="26" fillId="12" borderId="42" xfId="4" applyFill="1" applyBorder="1" applyAlignment="1" applyProtection="1">
      <alignment horizontal="center" vertical="center"/>
      <protection locked="0"/>
    </xf>
    <xf numFmtId="0" fontId="26" fillId="12" borderId="122" xfId="4" applyFill="1" applyBorder="1" applyAlignment="1" applyProtection="1">
      <alignment horizontal="center" vertical="center"/>
      <protection locked="0"/>
    </xf>
    <xf numFmtId="0" fontId="26" fillId="12" borderId="145" xfId="4" applyFill="1" applyBorder="1" applyAlignment="1" applyProtection="1">
      <alignment horizontal="center" vertical="center"/>
      <protection locked="0"/>
    </xf>
    <xf numFmtId="0" fontId="26" fillId="12" borderId="73" xfId="4" applyFill="1" applyBorder="1" applyAlignment="1" applyProtection="1">
      <alignment horizontal="center" vertical="center" wrapText="1"/>
      <protection locked="0"/>
    </xf>
    <xf numFmtId="0" fontId="26" fillId="12" borderId="42" xfId="4" applyFill="1" applyBorder="1" applyAlignment="1" applyProtection="1">
      <alignment horizontal="center" vertical="center" wrapText="1"/>
      <protection locked="0"/>
    </xf>
    <xf numFmtId="0" fontId="0" fillId="10" borderId="30" xfId="0" applyFill="1" applyBorder="1" applyAlignment="1" applyProtection="1">
      <alignment horizontal="left" vertical="center" wrapText="1"/>
    </xf>
    <xf numFmtId="0" fontId="26" fillId="8" borderId="73" xfId="4" applyBorder="1" applyAlignment="1" applyProtection="1">
      <alignment horizontal="center"/>
      <protection locked="0"/>
    </xf>
    <xf numFmtId="0" fontId="26" fillId="8" borderId="47" xfId="4" applyBorder="1" applyAlignment="1" applyProtection="1">
      <alignment horizontal="center"/>
      <protection locked="0"/>
    </xf>
    <xf numFmtId="0" fontId="26" fillId="12" borderId="73" xfId="4" applyFill="1" applyBorder="1" applyAlignment="1" applyProtection="1">
      <alignment horizontal="center"/>
      <protection locked="0"/>
    </xf>
    <xf numFmtId="0" fontId="26" fillId="12" borderId="47" xfId="4" applyFill="1" applyBorder="1" applyAlignment="1" applyProtection="1">
      <alignment horizontal="center"/>
      <protection locked="0"/>
    </xf>
    <xf numFmtId="0" fontId="26" fillId="12" borderId="47" xfId="4" applyFill="1" applyBorder="1" applyAlignment="1" applyProtection="1">
      <alignment horizontal="center" vertical="center" wrapText="1"/>
      <protection locked="0"/>
    </xf>
    <xf numFmtId="0" fontId="29" fillId="11" borderId="47" xfId="0" applyFont="1" applyFill="1" applyBorder="1" applyAlignment="1" applyProtection="1">
      <alignment horizontal="center" vertical="center" wrapText="1"/>
    </xf>
    <xf numFmtId="0" fontId="26" fillId="12" borderId="146" xfId="4" applyFill="1" applyBorder="1" applyAlignment="1" applyProtection="1">
      <alignment horizontal="center" vertical="center" wrapText="1"/>
      <protection locked="0"/>
    </xf>
    <xf numFmtId="0" fontId="29" fillId="11" borderId="44" xfId="0" applyFont="1" applyFill="1" applyBorder="1" applyAlignment="1" applyProtection="1">
      <alignment horizontal="center" vertical="center" wrapText="1"/>
    </xf>
    <xf numFmtId="0" fontId="26" fillId="8" borderId="44" xfId="4" applyBorder="1" applyAlignment="1" applyProtection="1">
      <alignment horizontal="center" vertical="center"/>
      <protection locked="0"/>
    </xf>
    <xf numFmtId="0" fontId="26" fillId="12" borderId="44" xfId="4" applyFill="1" applyBorder="1" applyAlignment="1" applyProtection="1">
      <alignment horizontal="center" vertical="center"/>
      <protection locked="0"/>
    </xf>
    <xf numFmtId="0" fontId="26" fillId="12" borderId="47" xfId="4" applyFill="1" applyBorder="1" applyAlignment="1" applyProtection="1">
      <alignment horizontal="center" vertical="center"/>
      <protection locked="0"/>
    </xf>
    <xf numFmtId="0" fontId="29" fillId="11" borderId="25" xfId="0" applyFont="1" applyFill="1" applyBorder="1" applyAlignment="1" applyProtection="1">
      <alignment horizontal="center" vertical="center" wrapText="1"/>
    </xf>
    <xf numFmtId="0" fontId="29" fillId="11" borderId="32" xfId="0" applyFont="1" applyFill="1" applyBorder="1" applyAlignment="1" applyProtection="1">
      <alignment horizontal="center" vertical="center" wrapText="1"/>
    </xf>
    <xf numFmtId="0" fontId="29" fillId="11" borderId="27" xfId="0" applyFont="1" applyFill="1" applyBorder="1" applyAlignment="1" applyProtection="1">
      <alignment horizontal="center" vertical="center" wrapText="1"/>
    </xf>
    <xf numFmtId="10" fontId="31" fillId="8" borderId="73" xfId="4" applyNumberFormat="1" applyFont="1" applyBorder="1" applyAlignment="1" applyProtection="1">
      <alignment horizontal="center" vertical="center" wrapText="1"/>
      <protection locked="0"/>
    </xf>
    <xf numFmtId="10" fontId="31" fillId="8" borderId="42" xfId="4" applyNumberFormat="1" applyFont="1" applyBorder="1" applyAlignment="1" applyProtection="1">
      <alignment horizontal="center" vertical="center" wrapText="1"/>
      <protection locked="0"/>
    </xf>
    <xf numFmtId="0" fontId="26" fillId="8" borderId="44" xfId="4" applyBorder="1" applyAlignment="1" applyProtection="1">
      <alignment horizontal="center" vertical="center" wrapText="1"/>
      <protection locked="0"/>
    </xf>
    <xf numFmtId="9" fontId="31" fillId="12" borderId="77" xfId="4" applyNumberFormat="1" applyFont="1" applyFill="1" applyBorder="1" applyAlignment="1" applyProtection="1">
      <alignment horizontal="center" vertical="center" wrapText="1"/>
      <protection locked="0"/>
    </xf>
    <xf numFmtId="0" fontId="31" fillId="12" borderId="42" xfId="4" applyFont="1" applyFill="1" applyBorder="1" applyAlignment="1" applyProtection="1">
      <alignment horizontal="center" vertical="center" wrapText="1"/>
      <protection locked="0"/>
    </xf>
    <xf numFmtId="0" fontId="34" fillId="8" borderId="73" xfId="4" applyFont="1" applyBorder="1" applyAlignment="1" applyProtection="1">
      <alignment horizontal="center" vertical="center" wrapText="1"/>
      <protection locked="0"/>
    </xf>
    <xf numFmtId="0" fontId="34" fillId="8" borderId="47" xfId="4" applyFont="1" applyBorder="1" applyAlignment="1" applyProtection="1">
      <alignment horizontal="center" vertical="center" wrapText="1"/>
      <protection locked="0"/>
    </xf>
    <xf numFmtId="0" fontId="34" fillId="12" borderId="73" xfId="4" applyFont="1" applyFill="1" applyBorder="1" applyAlignment="1" applyProtection="1">
      <alignment horizontal="center" vertical="center" wrapText="1"/>
      <protection locked="0"/>
    </xf>
    <xf numFmtId="0" fontId="34" fillId="12" borderId="47" xfId="4" applyFont="1" applyFill="1" applyBorder="1" applyAlignment="1" applyProtection="1">
      <alignment horizontal="center" vertical="center" wrapText="1"/>
      <protection locked="0"/>
    </xf>
    <xf numFmtId="0" fontId="0" fillId="0" borderId="76" xfId="0" applyBorder="1" applyAlignment="1" applyProtection="1">
      <alignment horizontal="left" vertical="center" wrapText="1"/>
    </xf>
    <xf numFmtId="0" fontId="26" fillId="8" borderId="45" xfId="4" applyBorder="1" applyAlignment="1" applyProtection="1">
      <alignment horizontal="center" wrapText="1"/>
      <protection locked="0"/>
    </xf>
    <xf numFmtId="0" fontId="26" fillId="8" borderId="61" xfId="4" applyBorder="1" applyAlignment="1" applyProtection="1">
      <alignment horizontal="center" wrapText="1"/>
      <protection locked="0"/>
    </xf>
    <xf numFmtId="0" fontId="26" fillId="8" borderId="46" xfId="4" applyBorder="1" applyAlignment="1" applyProtection="1">
      <alignment horizontal="center" wrapText="1"/>
      <protection locked="0"/>
    </xf>
    <xf numFmtId="0" fontId="26" fillId="8" borderId="62" xfId="4" applyBorder="1" applyAlignment="1" applyProtection="1">
      <alignment horizontal="center" wrapText="1"/>
      <protection locked="0"/>
    </xf>
    <xf numFmtId="0" fontId="26" fillId="12" borderId="45" xfId="4" applyFill="1" applyBorder="1" applyAlignment="1" applyProtection="1">
      <alignment horizontal="center" wrapText="1"/>
      <protection locked="0"/>
    </xf>
    <xf numFmtId="0" fontId="26" fillId="12" borderId="61" xfId="4" applyFill="1" applyBorder="1" applyAlignment="1" applyProtection="1">
      <alignment horizontal="center" wrapText="1"/>
      <protection locked="0"/>
    </xf>
    <xf numFmtId="0" fontId="26" fillId="12" borderId="46" xfId="4" applyFill="1" applyBorder="1" applyAlignment="1" applyProtection="1">
      <alignment horizontal="center" wrapText="1"/>
      <protection locked="0"/>
    </xf>
    <xf numFmtId="0" fontId="26" fillId="12" borderId="62" xfId="4" applyFill="1" applyBorder="1" applyAlignment="1" applyProtection="1">
      <alignment horizontal="center" wrapText="1"/>
      <protection locked="0"/>
    </xf>
    <xf numFmtId="0" fontId="19" fillId="3" borderId="11" xfId="0" applyFont="1" applyFill="1" applyBorder="1" applyAlignment="1">
      <alignment horizontal="center" vertical="center"/>
    </xf>
    <xf numFmtId="0" fontId="12" fillId="3" borderId="10" xfId="0" applyFont="1" applyFill="1" applyBorder="1" applyAlignment="1">
      <alignment horizontal="center" vertical="top" wrapText="1"/>
    </xf>
    <xf numFmtId="0" fontId="12" fillId="3" borderId="11" xfId="0" applyFont="1" applyFill="1" applyBorder="1" applyAlignment="1">
      <alignment horizontal="center" vertical="top" wrapText="1"/>
    </xf>
    <xf numFmtId="0" fontId="17" fillId="3" borderId="11" xfId="0" applyFont="1" applyFill="1" applyBorder="1" applyAlignment="1">
      <alignment horizontal="center" vertical="top" wrapText="1"/>
    </xf>
    <xf numFmtId="0" fontId="15" fillId="3" borderId="15" xfId="1" applyFill="1" applyBorder="1" applyAlignment="1" applyProtection="1">
      <alignment horizontal="center" vertical="top" wrapText="1"/>
    </xf>
    <xf numFmtId="0" fontId="15" fillId="3" borderId="16" xfId="1" applyFill="1" applyBorder="1" applyAlignment="1" applyProtection="1">
      <alignment horizontal="center" vertical="top" wrapText="1"/>
    </xf>
    <xf numFmtId="0" fontId="23" fillId="2" borderId="73" xfId="0" applyFont="1" applyFill="1" applyBorder="1" applyAlignment="1">
      <alignment horizontal="center" vertical="center"/>
    </xf>
    <xf numFmtId="0" fontId="23" fillId="2" borderId="44" xfId="0" applyFont="1" applyFill="1" applyBorder="1" applyAlignment="1">
      <alignment horizontal="center" vertical="center"/>
    </xf>
    <xf numFmtId="0" fontId="23" fillId="2" borderId="42" xfId="0" applyFont="1" applyFill="1" applyBorder="1" applyAlignment="1">
      <alignment horizontal="center" vertical="center"/>
    </xf>
    <xf numFmtId="0" fontId="26" fillId="8" borderId="122" xfId="4" applyBorder="1" applyAlignment="1" applyProtection="1">
      <alignment horizontal="center" vertical="center" wrapText="1"/>
      <protection locked="0"/>
    </xf>
    <xf numFmtId="0" fontId="26" fillId="8" borderId="146" xfId="4" applyBorder="1" applyAlignment="1" applyProtection="1">
      <alignment horizontal="center" vertical="center" wrapText="1"/>
      <protection locked="0"/>
    </xf>
    <xf numFmtId="0" fontId="34" fillId="12" borderId="45" xfId="4" applyFont="1" applyFill="1" applyBorder="1" applyAlignment="1" applyProtection="1">
      <alignment horizontal="center" vertical="center" wrapText="1"/>
      <protection locked="0"/>
    </xf>
    <xf numFmtId="0" fontId="34" fillId="12" borderId="61" xfId="4" applyFont="1" applyFill="1" applyBorder="1" applyAlignment="1" applyProtection="1">
      <alignment horizontal="center" vertical="center" wrapText="1"/>
      <protection locked="0"/>
    </xf>
    <xf numFmtId="0" fontId="34" fillId="12" borderId="45" xfId="4" applyFont="1" applyFill="1" applyBorder="1" applyAlignment="1" applyProtection="1">
      <alignment horizontal="center" vertical="center"/>
      <protection locked="0"/>
    </xf>
    <xf numFmtId="0" fontId="34" fillId="12" borderId="61" xfId="4" applyFont="1" applyFill="1" applyBorder="1" applyAlignment="1" applyProtection="1">
      <alignment horizontal="center" vertical="center"/>
      <protection locked="0"/>
    </xf>
    <xf numFmtId="0" fontId="34" fillId="8" borderId="45" xfId="4" applyFont="1" applyBorder="1" applyAlignment="1" applyProtection="1">
      <alignment horizontal="center" vertical="center"/>
      <protection locked="0"/>
    </xf>
    <xf numFmtId="0" fontId="34" fillId="8" borderId="61" xfId="4" applyFont="1" applyBorder="1" applyAlignment="1" applyProtection="1">
      <alignment horizontal="center" vertical="center"/>
      <protection locked="0"/>
    </xf>
    <xf numFmtId="0" fontId="27" fillId="0" borderId="0" xfId="0" applyFont="1" applyAlignment="1" applyProtection="1">
      <alignment horizontal="left"/>
    </xf>
    <xf numFmtId="0" fontId="0" fillId="10" borderId="60" xfId="0" applyFill="1" applyBorder="1" applyAlignment="1" applyProtection="1">
      <alignment horizontal="left" vertical="center" wrapText="1"/>
    </xf>
    <xf numFmtId="0" fontId="0" fillId="10" borderId="31"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21" fillId="15" borderId="1" xfId="0" applyFont="1" applyFill="1" applyBorder="1" applyAlignment="1" applyProtection="1">
      <alignment horizontal="center"/>
    </xf>
    <xf numFmtId="0" fontId="16" fillId="17" borderId="13" xfId="0" applyFont="1" applyFill="1" applyBorder="1" applyAlignment="1" applyProtection="1">
      <alignment horizontal="center" wrapText="1"/>
    </xf>
    <xf numFmtId="0" fontId="16" fillId="17" borderId="0" xfId="0" applyFont="1" applyFill="1" applyBorder="1" applyAlignment="1" applyProtection="1">
      <alignment horizontal="center"/>
    </xf>
    <xf numFmtId="0" fontId="21" fillId="17" borderId="0" xfId="0" applyFont="1" applyFill="1" applyBorder="1" applyAlignment="1" applyProtection="1">
      <alignment horizontal="left" vertical="top" wrapText="1"/>
    </xf>
    <xf numFmtId="0" fontId="22" fillId="17" borderId="0" xfId="0" applyFont="1" applyFill="1" applyBorder="1" applyAlignment="1" applyProtection="1">
      <alignment horizontal="left" vertical="top" wrapText="1"/>
    </xf>
    <xf numFmtId="0" fontId="39" fillId="2" borderId="0" xfId="0" applyFont="1" applyFill="1" applyBorder="1" applyAlignment="1">
      <alignment horizontal="center" wrapText="1"/>
    </xf>
    <xf numFmtId="0" fontId="11" fillId="0" borderId="102" xfId="0" applyFont="1" applyBorder="1" applyAlignment="1">
      <alignment horizontal="center" vertical="center" wrapText="1"/>
    </xf>
    <xf numFmtId="0" fontId="11" fillId="0" borderId="26" xfId="0" applyFont="1" applyBorder="1" applyAlignment="1">
      <alignment horizontal="center"/>
    </xf>
    <xf numFmtId="0" fontId="11" fillId="0" borderId="8" xfId="0" applyFont="1" applyBorder="1" applyAlignment="1">
      <alignment horizontal="center"/>
    </xf>
    <xf numFmtId="0" fontId="11" fillId="0" borderId="20" xfId="0" applyFont="1" applyBorder="1" applyAlignment="1">
      <alignment horizontal="center"/>
    </xf>
    <xf numFmtId="168" fontId="79" fillId="0" borderId="102" xfId="5" applyNumberFormat="1" applyFont="1" applyBorder="1" applyAlignment="1">
      <alignment horizontal="center" vertical="center" wrapText="1"/>
    </xf>
    <xf numFmtId="0" fontId="21" fillId="4" borderId="26" xfId="0" applyFont="1" applyFill="1" applyBorder="1" applyAlignment="1">
      <alignment horizontal="center"/>
    </xf>
    <xf numFmtId="0" fontId="21" fillId="4" borderId="20" xfId="0" applyFont="1" applyFill="1" applyBorder="1" applyAlignment="1">
      <alignment horizontal="center"/>
    </xf>
    <xf numFmtId="0" fontId="21" fillId="0" borderId="26" xfId="0" applyFont="1" applyFill="1" applyBorder="1" applyAlignment="1">
      <alignment horizontal="center"/>
    </xf>
    <xf numFmtId="0" fontId="21" fillId="0" borderId="140" xfId="0" applyFont="1" applyFill="1" applyBorder="1" applyAlignment="1">
      <alignment horizontal="center"/>
    </xf>
    <xf numFmtId="0" fontId="22" fillId="3" borderId="16" xfId="0" applyFont="1" applyFill="1" applyBorder="1" applyAlignment="1"/>
    <xf numFmtId="49" fontId="13" fillId="27" borderId="128" xfId="0" applyNumberFormat="1" applyFont="1" applyFill="1" applyBorder="1" applyAlignment="1">
      <alignment horizontal="center" wrapText="1"/>
    </xf>
    <xf numFmtId="49" fontId="13" fillId="27" borderId="0" xfId="0" applyNumberFormat="1" applyFont="1" applyFill="1" applyBorder="1" applyAlignment="1">
      <alignment horizontal="center" wrapText="1"/>
    </xf>
    <xf numFmtId="0" fontId="0" fillId="0" borderId="130" xfId="0" applyBorder="1" applyAlignment="1">
      <alignment horizontal="center"/>
    </xf>
    <xf numFmtId="0" fontId="0" fillId="0" borderId="0" xfId="0" applyAlignment="1">
      <alignment horizontal="center"/>
    </xf>
    <xf numFmtId="0" fontId="72" fillId="27" borderId="100" xfId="0" applyFont="1" applyFill="1" applyBorder="1" applyAlignment="1">
      <alignment horizontal="center"/>
    </xf>
    <xf numFmtId="0" fontId="72" fillId="27" borderId="108" xfId="0" applyFont="1" applyFill="1" applyBorder="1" applyAlignment="1">
      <alignment horizontal="center"/>
    </xf>
    <xf numFmtId="0" fontId="72" fillId="27" borderId="99" xfId="0" applyFont="1" applyFill="1" applyBorder="1" applyAlignment="1">
      <alignment horizontal="center"/>
    </xf>
    <xf numFmtId="0" fontId="86" fillId="27" borderId="102" xfId="0" applyFont="1" applyFill="1" applyBorder="1" applyAlignment="1">
      <alignment horizontal="center" vertical="center"/>
    </xf>
    <xf numFmtId="49" fontId="85" fillId="28" borderId="100" xfId="0" applyNumberFormat="1" applyFont="1" applyFill="1" applyBorder="1" applyAlignment="1">
      <alignment horizontal="center" vertical="top" wrapText="1"/>
    </xf>
    <xf numFmtId="49" fontId="85" fillId="28" borderId="99" xfId="0" applyNumberFormat="1" applyFont="1" applyFill="1" applyBorder="1" applyAlignment="1">
      <alignment horizontal="center" vertical="top" wrapText="1"/>
    </xf>
    <xf numFmtId="0" fontId="83" fillId="0" borderId="102" xfId="0" applyFont="1" applyBorder="1" applyAlignment="1">
      <alignment horizontal="left" vertical="center" wrapText="1"/>
    </xf>
    <xf numFmtId="0" fontId="3" fillId="0" borderId="102" xfId="0" applyFont="1" applyBorder="1" applyAlignment="1">
      <alignment horizontal="left" vertical="center" wrapText="1"/>
    </xf>
    <xf numFmtId="0" fontId="82" fillId="0" borderId="102" xfId="0" applyNumberFormat="1" applyFont="1" applyFill="1" applyBorder="1" applyAlignment="1">
      <alignment horizontal="left" vertical="center" wrapText="1"/>
    </xf>
    <xf numFmtId="0" fontId="0" fillId="0" borderId="102" xfId="0" applyBorder="1" applyAlignment="1">
      <alignment horizontal="left" vertical="center" wrapText="1"/>
    </xf>
    <xf numFmtId="0" fontId="90" fillId="15" borderId="1" xfId="0" applyFont="1" applyFill="1" applyBorder="1" applyAlignment="1" applyProtection="1">
      <alignment horizontal="center"/>
    </xf>
    <xf numFmtId="0" fontId="87" fillId="17" borderId="13" xfId="0" applyFont="1" applyFill="1" applyBorder="1" applyAlignment="1" applyProtection="1">
      <alignment horizontal="center" wrapText="1"/>
    </xf>
    <xf numFmtId="0" fontId="89" fillId="17" borderId="0" xfId="0" applyFont="1" applyFill="1" applyBorder="1" applyAlignment="1" applyProtection="1">
      <alignment horizontal="left" vertical="top" wrapText="1"/>
    </xf>
    <xf numFmtId="0" fontId="87" fillId="17" borderId="0" xfId="0" applyFont="1" applyFill="1" applyBorder="1" applyAlignment="1" applyProtection="1">
      <alignment horizontal="left" vertical="top" wrapText="1"/>
    </xf>
    <xf numFmtId="172" fontId="99" fillId="29" borderId="102" xfId="0" applyNumberFormat="1" applyFont="1" applyFill="1" applyBorder="1" applyAlignment="1">
      <alignment horizontal="center" vertical="center"/>
    </xf>
    <xf numFmtId="171" fontId="99" fillId="29" borderId="102" xfId="0" applyNumberFormat="1" applyFont="1" applyFill="1" applyBorder="1" applyAlignment="1">
      <alignment horizontal="center" vertical="center"/>
    </xf>
    <xf numFmtId="0" fontId="97" fillId="0" borderId="0" xfId="0" applyFont="1" applyFill="1" applyAlignment="1">
      <alignment horizontal="center" vertical="center"/>
    </xf>
    <xf numFmtId="0" fontId="94" fillId="0" borderId="102" xfId="0" applyFont="1" applyFill="1" applyBorder="1" applyAlignment="1">
      <alignment horizontal="center" vertical="center"/>
    </xf>
    <xf numFmtId="171" fontId="94" fillId="0" borderId="102" xfId="0" applyNumberFormat="1" applyFont="1" applyFill="1" applyBorder="1" applyAlignment="1">
      <alignment horizontal="center" vertical="center"/>
    </xf>
    <xf numFmtId="0" fontId="99" fillId="29" borderId="102" xfId="0" applyFont="1" applyFill="1" applyBorder="1" applyAlignment="1">
      <alignment horizontal="center" vertical="center"/>
    </xf>
    <xf numFmtId="0" fontId="93" fillId="32" borderId="134" xfId="0" applyFont="1" applyFill="1" applyBorder="1" applyAlignment="1">
      <alignment horizontal="center" vertical="center" wrapText="1"/>
    </xf>
    <xf numFmtId="0" fontId="93" fillId="32" borderId="35" xfId="0" applyFont="1" applyFill="1" applyBorder="1" applyAlignment="1">
      <alignment horizontal="center" vertical="center" wrapText="1"/>
    </xf>
    <xf numFmtId="0" fontId="99" fillId="0" borderId="108" xfId="0" applyFont="1" applyFill="1" applyBorder="1" applyAlignment="1">
      <alignment horizontal="center" vertical="center"/>
    </xf>
    <xf numFmtId="0" fontId="99" fillId="0" borderId="99" xfId="0" applyFont="1" applyFill="1" applyBorder="1" applyAlignment="1">
      <alignment horizontal="center" vertical="center"/>
    </xf>
    <xf numFmtId="0" fontId="99" fillId="0" borderId="100" xfId="0" applyFont="1" applyFill="1" applyBorder="1" applyAlignment="1">
      <alignment horizontal="center" vertical="center"/>
    </xf>
    <xf numFmtId="0" fontId="105" fillId="31" borderId="136" xfId="0" applyFont="1" applyFill="1" applyBorder="1" applyAlignment="1">
      <alignment horizontal="center" vertical="center"/>
    </xf>
    <xf numFmtId="0" fontId="105" fillId="31" borderId="137" xfId="0" applyFont="1" applyFill="1" applyBorder="1" applyAlignment="1">
      <alignment horizontal="center" vertical="center"/>
    </xf>
    <xf numFmtId="0" fontId="105" fillId="31" borderId="135" xfId="0" applyFont="1" applyFill="1" applyBorder="1" applyAlignment="1">
      <alignment horizontal="center" vertical="center"/>
    </xf>
    <xf numFmtId="0" fontId="99" fillId="29" borderId="101" xfId="0" applyFont="1" applyFill="1" applyBorder="1" applyAlignment="1">
      <alignment horizontal="center" vertical="center"/>
    </xf>
    <xf numFmtId="0" fontId="99" fillId="29" borderId="36" xfId="0" applyFont="1" applyFill="1" applyBorder="1" applyAlignment="1">
      <alignment horizontal="center" vertical="center"/>
    </xf>
    <xf numFmtId="0" fontId="99" fillId="29" borderId="104" xfId="0" applyFont="1" applyFill="1" applyBorder="1" applyAlignment="1">
      <alignment horizontal="center" vertical="center"/>
    </xf>
    <xf numFmtId="0" fontId="99" fillId="29" borderId="132" xfId="0" applyFont="1" applyFill="1" applyBorder="1" applyAlignment="1">
      <alignment horizontal="center" vertical="center"/>
    </xf>
    <xf numFmtId="0" fontId="99" fillId="29" borderId="35" xfId="0" applyFont="1" applyFill="1" applyBorder="1" applyAlignment="1">
      <alignment horizontal="center" vertical="center"/>
    </xf>
    <xf numFmtId="0" fontId="99" fillId="29" borderId="58" xfId="0" applyFont="1" applyFill="1" applyBorder="1" applyAlignment="1">
      <alignment horizontal="center" vertical="center"/>
    </xf>
    <xf numFmtId="0" fontId="93" fillId="33" borderId="101" xfId="0" applyFont="1" applyFill="1" applyBorder="1" applyAlignment="1">
      <alignment horizontal="center" vertical="center" wrapText="1"/>
    </xf>
    <xf numFmtId="0" fontId="93" fillId="33" borderId="133" xfId="0" applyFont="1" applyFill="1" applyBorder="1" applyAlignment="1">
      <alignment horizontal="center" vertical="center" wrapText="1"/>
    </xf>
    <xf numFmtId="0" fontId="105" fillId="31" borderId="79" xfId="0" applyFont="1" applyFill="1" applyBorder="1" applyAlignment="1">
      <alignment horizontal="center" vertical="center"/>
    </xf>
    <xf numFmtId="0" fontId="93" fillId="2" borderId="104" xfId="0" applyFont="1" applyFill="1" applyBorder="1" applyAlignment="1">
      <alignment horizontal="center" vertical="center" wrapText="1"/>
    </xf>
    <xf numFmtId="0" fontId="93" fillId="2" borderId="58" xfId="0" applyFont="1" applyFill="1" applyBorder="1" applyAlignment="1">
      <alignment horizontal="center" vertical="center" wrapText="1"/>
    </xf>
    <xf numFmtId="0" fontId="93" fillId="32" borderId="101" xfId="0" applyFont="1" applyFill="1" applyBorder="1" applyAlignment="1">
      <alignment horizontal="center" vertical="center" wrapText="1"/>
    </xf>
    <xf numFmtId="0" fontId="93" fillId="32" borderId="133" xfId="0" applyFont="1" applyFill="1" applyBorder="1" applyAlignment="1">
      <alignment horizontal="center" vertical="center" wrapText="1"/>
    </xf>
    <xf numFmtId="0" fontId="106" fillId="0" borderId="102" xfId="0" applyFont="1" applyFill="1" applyBorder="1" applyAlignment="1">
      <alignment horizontal="left" vertical="center"/>
    </xf>
    <xf numFmtId="0" fontId="95" fillId="0" borderId="101" xfId="0" applyFont="1" applyFill="1" applyBorder="1" applyAlignment="1">
      <alignment horizontal="center" vertical="center"/>
    </xf>
    <xf numFmtId="0" fontId="95" fillId="0" borderId="36" xfId="0" applyFont="1" applyFill="1" applyBorder="1" applyAlignment="1">
      <alignment horizontal="center" vertical="center"/>
    </xf>
    <xf numFmtId="0" fontId="95" fillId="0" borderId="104" xfId="0" applyFont="1" applyFill="1" applyBorder="1" applyAlignment="1">
      <alignment horizontal="center" vertical="center"/>
    </xf>
    <xf numFmtId="0" fontId="95" fillId="0" borderId="130" xfId="0" applyFont="1" applyFill="1" applyBorder="1" applyAlignment="1">
      <alignment horizontal="center" vertical="center"/>
    </xf>
    <xf numFmtId="0" fontId="95" fillId="0" borderId="0" xfId="0" applyFont="1" applyFill="1" applyBorder="1" applyAlignment="1">
      <alignment horizontal="center" vertical="center"/>
    </xf>
    <xf numFmtId="0" fontId="95" fillId="0" borderId="31" xfId="0" applyFont="1" applyFill="1" applyBorder="1" applyAlignment="1">
      <alignment horizontal="center" vertical="center"/>
    </xf>
    <xf numFmtId="0" fontId="95" fillId="0" borderId="132" xfId="0" applyFont="1" applyFill="1" applyBorder="1" applyAlignment="1">
      <alignment horizontal="center" vertical="center"/>
    </xf>
    <xf numFmtId="0" fontId="95" fillId="0" borderId="35" xfId="0" applyFont="1" applyFill="1" applyBorder="1" applyAlignment="1">
      <alignment horizontal="center" vertical="center"/>
    </xf>
    <xf numFmtId="0" fontId="95" fillId="0" borderId="58" xfId="0" applyFont="1" applyFill="1" applyBorder="1" applyAlignment="1">
      <alignment horizontal="center" vertical="center"/>
    </xf>
    <xf numFmtId="0" fontId="99" fillId="0" borderId="112" xfId="0" applyFont="1" applyFill="1" applyBorder="1" applyAlignment="1">
      <alignment horizontal="center" vertical="center"/>
    </xf>
    <xf numFmtId="0" fontId="99" fillId="0" borderId="30" xfId="0" applyFont="1" applyFill="1" applyBorder="1" applyAlignment="1">
      <alignment horizontal="center" vertical="center"/>
    </xf>
    <xf numFmtId="0" fontId="99" fillId="0" borderId="133" xfId="0" applyFont="1" applyFill="1" applyBorder="1" applyAlignment="1">
      <alignment horizontal="center" vertical="center"/>
    </xf>
    <xf numFmtId="0" fontId="99" fillId="0" borderId="101" xfId="0" applyFont="1" applyFill="1" applyBorder="1" applyAlignment="1">
      <alignment horizontal="center" vertical="center"/>
    </xf>
    <xf numFmtId="0" fontId="99" fillId="0" borderId="36" xfId="0" applyFont="1" applyFill="1" applyBorder="1" applyAlignment="1">
      <alignment horizontal="center" vertical="center"/>
    </xf>
    <xf numFmtId="0" fontId="99" fillId="0" borderId="104" xfId="0" applyFont="1" applyFill="1" applyBorder="1" applyAlignment="1">
      <alignment horizontal="center" vertical="center"/>
    </xf>
    <xf numFmtId="3" fontId="100" fillId="0" borderId="102" xfId="0" applyNumberFormat="1" applyFont="1" applyBorder="1" applyAlignment="1">
      <alignment horizontal="center" vertical="center"/>
    </xf>
    <xf numFmtId="0" fontId="99" fillId="0" borderId="99" xfId="0" applyFont="1" applyFill="1" applyBorder="1" applyAlignment="1">
      <alignment horizontal="center" vertical="center" wrapText="1"/>
    </xf>
    <xf numFmtId="0" fontId="99" fillId="0" borderId="102" xfId="0" applyFont="1" applyFill="1" applyBorder="1" applyAlignment="1">
      <alignment horizontal="center" vertical="center" wrapText="1"/>
    </xf>
    <xf numFmtId="0" fontId="99" fillId="0" borderId="100" xfId="0" applyFont="1" applyFill="1" applyBorder="1" applyAlignment="1">
      <alignment horizontal="center" vertical="center" wrapText="1"/>
    </xf>
    <xf numFmtId="0" fontId="99" fillId="0" borderId="102" xfId="0" applyFont="1" applyFill="1" applyBorder="1" applyAlignment="1">
      <alignment horizontal="center" vertical="center"/>
    </xf>
    <xf numFmtId="0" fontId="99" fillId="0" borderId="36" xfId="0" applyFont="1" applyFill="1" applyBorder="1" applyAlignment="1">
      <alignment horizontal="center" vertical="center" wrapText="1"/>
    </xf>
    <xf numFmtId="0" fontId="99" fillId="0" borderId="104" xfId="0" applyFont="1" applyFill="1" applyBorder="1" applyAlignment="1">
      <alignment horizontal="center" vertical="center" wrapText="1"/>
    </xf>
    <xf numFmtId="0" fontId="99" fillId="0" borderId="35" xfId="0" applyFont="1" applyFill="1" applyBorder="1" applyAlignment="1">
      <alignment horizontal="center" vertical="center" wrapText="1"/>
    </xf>
    <xf numFmtId="0" fontId="99" fillId="0" borderId="58" xfId="0" applyFont="1" applyFill="1" applyBorder="1" applyAlignment="1">
      <alignment horizontal="center" vertical="center" wrapText="1"/>
    </xf>
    <xf numFmtId="3" fontId="100" fillId="0" borderId="102" xfId="0" applyNumberFormat="1" applyFont="1" applyBorder="1" applyAlignment="1">
      <alignment horizontal="center" vertical="center" wrapText="1"/>
    </xf>
    <xf numFmtId="0" fontId="105" fillId="31" borderId="136" xfId="0" applyFont="1" applyFill="1" applyBorder="1" applyAlignment="1">
      <alignment horizontal="center" vertical="center" wrapText="1"/>
    </xf>
    <xf numFmtId="0" fontId="105" fillId="31" borderId="135" xfId="0" applyFont="1" applyFill="1" applyBorder="1" applyAlignment="1">
      <alignment horizontal="center" vertical="center" wrapText="1"/>
    </xf>
    <xf numFmtId="0" fontId="105" fillId="31" borderId="101" xfId="0" applyFont="1" applyFill="1" applyBorder="1" applyAlignment="1">
      <alignment horizontal="center" vertical="center" wrapText="1"/>
    </xf>
    <xf numFmtId="0" fontId="105" fillId="31" borderId="36" xfId="0" applyFont="1" applyFill="1" applyBorder="1" applyAlignment="1">
      <alignment horizontal="center" vertical="center" wrapText="1"/>
    </xf>
    <xf numFmtId="0" fontId="105" fillId="31" borderId="104" xfId="0" applyFont="1" applyFill="1" applyBorder="1" applyAlignment="1">
      <alignment horizontal="center" vertical="center" wrapText="1"/>
    </xf>
    <xf numFmtId="0" fontId="105" fillId="31" borderId="132" xfId="0" applyFont="1" applyFill="1" applyBorder="1" applyAlignment="1">
      <alignment horizontal="center" vertical="center" wrapText="1"/>
    </xf>
    <xf numFmtId="0" fontId="105" fillId="31" borderId="35" xfId="0" applyFont="1" applyFill="1" applyBorder="1" applyAlignment="1">
      <alignment horizontal="center" vertical="center" wrapText="1"/>
    </xf>
    <xf numFmtId="0" fontId="105" fillId="31" borderId="58" xfId="0" applyFont="1" applyFill="1" applyBorder="1" applyAlignment="1">
      <alignment horizontal="center" vertical="center" wrapText="1"/>
    </xf>
    <xf numFmtId="0" fontId="65" fillId="2" borderId="93" xfId="0" applyFont="1" applyFill="1" applyBorder="1" applyAlignment="1">
      <alignment horizontal="center" vertical="center" wrapText="1"/>
    </xf>
    <xf numFmtId="0" fontId="65" fillId="2" borderId="103" xfId="0" applyFont="1" applyFill="1" applyBorder="1" applyAlignment="1">
      <alignment horizontal="center" vertical="center" wrapText="1"/>
    </xf>
    <xf numFmtId="0" fontId="0" fillId="2" borderId="102" xfId="0" applyFont="1" applyFill="1" applyBorder="1" applyAlignment="1">
      <alignment horizontal="center" vertical="center" wrapText="1"/>
    </xf>
    <xf numFmtId="0" fontId="0" fillId="2" borderId="107" xfId="0" applyFont="1" applyFill="1" applyBorder="1" applyAlignment="1">
      <alignment horizontal="center" vertical="center" wrapText="1"/>
    </xf>
    <xf numFmtId="0" fontId="72" fillId="34" borderId="102" xfId="0" applyFont="1" applyFill="1" applyBorder="1" applyAlignment="1">
      <alignment horizontal="center" vertical="center"/>
    </xf>
    <xf numFmtId="0" fontId="0" fillId="14" borderId="139" xfId="0" applyFont="1" applyFill="1" applyBorder="1" applyAlignment="1">
      <alignment horizontal="center" vertical="center"/>
    </xf>
    <xf numFmtId="0" fontId="0" fillId="14" borderId="93" xfId="0" applyFont="1" applyFill="1" applyBorder="1" applyAlignment="1">
      <alignment horizontal="center" vertical="center"/>
    </xf>
    <xf numFmtId="0" fontId="0" fillId="14" borderId="133" xfId="0" applyFont="1" applyFill="1" applyBorder="1" applyAlignment="1">
      <alignment horizontal="center" vertical="center"/>
    </xf>
    <xf numFmtId="0" fontId="0" fillId="14" borderId="102" xfId="0" applyFont="1" applyFill="1" applyBorder="1" applyAlignment="1">
      <alignment horizontal="center" vertical="center"/>
    </xf>
    <xf numFmtId="0" fontId="72" fillId="14" borderId="133" xfId="0" applyFont="1" applyFill="1" applyBorder="1" applyAlignment="1">
      <alignment horizontal="center" vertical="center" wrapText="1"/>
    </xf>
    <xf numFmtId="0" fontId="72" fillId="14" borderId="102" xfId="0" applyFont="1" applyFill="1" applyBorder="1" applyAlignment="1">
      <alignment horizontal="center" vertical="center" wrapText="1"/>
    </xf>
    <xf numFmtId="0" fontId="72" fillId="14" borderId="133" xfId="0" applyFont="1" applyFill="1" applyBorder="1" applyAlignment="1">
      <alignment horizontal="center" vertical="center"/>
    </xf>
    <xf numFmtId="0" fontId="72" fillId="14" borderId="102" xfId="0" applyFont="1" applyFill="1" applyBorder="1" applyAlignment="1">
      <alignment horizontal="center" vertical="center"/>
    </xf>
    <xf numFmtId="0" fontId="72" fillId="14" borderId="138" xfId="0" applyFont="1" applyFill="1" applyBorder="1" applyAlignment="1">
      <alignment horizontal="center" vertical="center" wrapText="1"/>
    </xf>
    <xf numFmtId="0" fontId="72" fillId="14" borderId="96" xfId="0" applyFont="1" applyFill="1" applyBorder="1" applyAlignment="1">
      <alignment horizontal="center" vertical="center" wrapText="1"/>
    </xf>
    <xf numFmtId="0" fontId="52" fillId="22" borderId="120" xfId="0" applyFont="1" applyFill="1" applyBorder="1" applyAlignment="1">
      <alignment horizontal="center" vertical="center" wrapText="1"/>
    </xf>
    <xf numFmtId="0" fontId="52" fillId="22" borderId="30" xfId="0" applyFont="1" applyFill="1" applyBorder="1" applyAlignment="1">
      <alignment horizontal="center" vertical="center" wrapText="1"/>
    </xf>
    <xf numFmtId="0" fontId="54" fillId="22" borderId="122" xfId="0" applyFont="1" applyFill="1" applyBorder="1" applyAlignment="1">
      <alignment horizontal="center" vertical="center" wrapText="1"/>
    </xf>
    <xf numFmtId="0" fontId="54" fillId="22" borderId="123" xfId="0" applyFont="1" applyFill="1" applyBorder="1" applyAlignment="1">
      <alignment horizontal="center" vertical="center" wrapText="1"/>
    </xf>
    <xf numFmtId="0" fontId="54" fillId="22" borderId="121" xfId="0" applyFont="1" applyFill="1" applyBorder="1" applyAlignment="1">
      <alignment horizontal="center" vertical="center" wrapText="1"/>
    </xf>
    <xf numFmtId="0" fontId="57" fillId="2" borderId="119" xfId="0" applyFont="1" applyFill="1" applyBorder="1" applyAlignment="1">
      <alignment horizontal="center" vertical="center" textRotation="90" wrapText="1"/>
    </xf>
    <xf numFmtId="0" fontId="52" fillId="14" borderId="122" xfId="0" applyFont="1" applyFill="1" applyBorder="1" applyAlignment="1">
      <alignment horizontal="center" vertical="center" wrapText="1"/>
    </xf>
    <xf numFmtId="0" fontId="52" fillId="14" borderId="123" xfId="0" applyFont="1" applyFill="1" applyBorder="1" applyAlignment="1">
      <alignment horizontal="center" vertical="center" wrapText="1"/>
    </xf>
    <xf numFmtId="0" fontId="58" fillId="19" borderId="123" xfId="0" applyFont="1" applyFill="1" applyBorder="1" applyAlignment="1">
      <alignment horizontal="center" vertical="center" wrapText="1"/>
    </xf>
    <xf numFmtId="0" fontId="58" fillId="19" borderId="121" xfId="0" applyFont="1" applyFill="1" applyBorder="1" applyAlignment="1">
      <alignment horizontal="center" vertical="center" wrapText="1"/>
    </xf>
    <xf numFmtId="0" fontId="55" fillId="2" borderId="122" xfId="0" applyFont="1" applyFill="1" applyBorder="1" applyAlignment="1">
      <alignment horizontal="center" vertical="center" wrapText="1"/>
    </xf>
    <xf numFmtId="0" fontId="55" fillId="2" borderId="123" xfId="0" applyFont="1" applyFill="1" applyBorder="1" applyAlignment="1">
      <alignment horizontal="center" vertical="center" wrapText="1"/>
    </xf>
    <xf numFmtId="0" fontId="55" fillId="2" borderId="121" xfId="0" applyFont="1" applyFill="1" applyBorder="1" applyAlignment="1">
      <alignment horizontal="center" vertical="center" wrapText="1"/>
    </xf>
    <xf numFmtId="0" fontId="55" fillId="2" borderId="119" xfId="0" applyFont="1" applyFill="1" applyBorder="1" applyAlignment="1">
      <alignment horizontal="center" vertical="center" wrapText="1"/>
    </xf>
    <xf numFmtId="0" fontId="57" fillId="2" borderId="119" xfId="0" applyFont="1" applyFill="1" applyBorder="1" applyAlignment="1">
      <alignment horizontal="center" vertical="center" wrapText="1"/>
    </xf>
    <xf numFmtId="0" fontId="56" fillId="2" borderId="119" xfId="0" applyFont="1" applyFill="1" applyBorder="1" applyAlignment="1">
      <alignment horizontal="center" vertical="center" wrapText="1"/>
    </xf>
  </cellXfs>
  <cellStyles count="12">
    <cellStyle name="Bad" xfId="3" builtinId="27"/>
    <cellStyle name="Comma" xfId="5" builtinId="3"/>
    <cellStyle name="Good" xfId="2" builtinId="26"/>
    <cellStyle name="Hipervínculo 2" xfId="7"/>
    <cellStyle name="Hyperlink" xfId="1" builtinId="8"/>
    <cellStyle name="Millares 3" xfId="10"/>
    <cellStyle name="Moneda 2" xfId="11"/>
    <cellStyle name="Neutral" xfId="4" builtinId="28"/>
    <cellStyle name="Normal" xfId="0" builtinId="0"/>
    <cellStyle name="Normal 2" xfId="8"/>
    <cellStyle name="Normal 3" xfId="9"/>
    <cellStyle name="Percent" xfId="6" builtinId="5"/>
  </cellStyles>
  <dxfs count="33">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gradientFill degree="90">
          <stop position="0">
            <color theme="0"/>
          </stop>
          <stop position="1">
            <color theme="5" tint="0.59999389629810485"/>
          </stop>
        </gradientFill>
      </fill>
    </dxf>
    <dxf>
      <fill>
        <patternFill>
          <bgColor theme="9"/>
        </patternFill>
      </fill>
    </dxf>
    <dxf>
      <fill>
        <patternFill>
          <bgColor theme="7" tint="0.39994506668294322"/>
        </patternFill>
      </fill>
    </dxf>
  </dxfs>
  <tableStyles count="0" defaultTableStyle="TableStyleMedium9" defaultPivotStyle="PivotStyleLight16"/>
  <colors>
    <mruColors>
      <color rgb="FFFFF4C5"/>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 Id="rId30"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B9A5D1F7-4A68-4A5B-9F2D-3E9244866A1C}" type="doc">
      <dgm:prSet loTypeId="urn:microsoft.com/office/officeart/2005/8/layout/bProcess3" loCatId="process" qsTypeId="urn:microsoft.com/office/officeart/2005/8/quickstyle/simple1" qsCatId="simple" csTypeId="urn:microsoft.com/office/officeart/2005/8/colors/accent1_2" csCatId="accent1" phldr="1"/>
      <dgm:spPr/>
      <dgm:t>
        <a:bodyPr/>
        <a:lstStyle/>
        <a:p>
          <a:endParaRPr lang="es-EC"/>
        </a:p>
      </dgm:t>
    </dgm:pt>
    <dgm:pt modelId="{49362A48-2A92-4D02-9548-1F1E06B0A7BE}">
      <dgm:prSet phldrT="[Texto]" custT="1"/>
      <dgm:spPr/>
      <dgm:t>
        <a:bodyPr/>
        <a:lstStyle/>
        <a:p>
          <a:r>
            <a:rPr lang="en-US" sz="2000" dirty="0"/>
            <a:t>Help memory evaluation workshop of the measure</a:t>
          </a:r>
          <a:endParaRPr lang="es-EC" sz="2000" dirty="0"/>
        </a:p>
      </dgm:t>
    </dgm:pt>
    <dgm:pt modelId="{4AEE86B9-C70C-484F-B6A7-BA22044A8346}" type="parTrans" cxnId="{A509D906-2409-49D6-9649-B065352DEE60}">
      <dgm:prSet/>
      <dgm:spPr/>
      <dgm:t>
        <a:bodyPr/>
        <a:lstStyle/>
        <a:p>
          <a:endParaRPr lang="es-EC" sz="1600"/>
        </a:p>
      </dgm:t>
    </dgm:pt>
    <dgm:pt modelId="{45779D5D-2AE9-4845-9B10-6F4B1F1C4541}" type="sibTrans" cxnId="{A509D906-2409-49D6-9649-B065352DEE60}">
      <dgm:prSet custT="1"/>
      <dgm:spPr/>
      <dgm:t>
        <a:bodyPr/>
        <a:lstStyle/>
        <a:p>
          <a:endParaRPr lang="es-EC" sz="400"/>
        </a:p>
      </dgm:t>
    </dgm:pt>
    <dgm:pt modelId="{CF14D2F0-7E34-4E7C-AB09-F78459A276E9}">
      <dgm:prSet phldrT="[Texto]" custT="1"/>
      <dgm:spPr/>
      <dgm:t>
        <a:bodyPr/>
        <a:lstStyle/>
        <a:p>
          <a:r>
            <a:rPr lang="en-US" sz="2000" dirty="0"/>
            <a:t>Report on the evaluation and completion of the adaptation measure</a:t>
          </a:r>
          <a:endParaRPr lang="es-EC" sz="2000" dirty="0"/>
        </a:p>
      </dgm:t>
    </dgm:pt>
    <dgm:pt modelId="{851BCD51-4A3A-4171-9553-393AA04D659D}" type="parTrans" cxnId="{35416634-5F46-4E84-8389-B56C19DC45A6}">
      <dgm:prSet/>
      <dgm:spPr/>
      <dgm:t>
        <a:bodyPr/>
        <a:lstStyle/>
        <a:p>
          <a:endParaRPr lang="es-EC" sz="1600"/>
        </a:p>
      </dgm:t>
    </dgm:pt>
    <dgm:pt modelId="{716EE64A-A3A7-441C-8E87-2087F45B148F}" type="sibTrans" cxnId="{35416634-5F46-4E84-8389-B56C19DC45A6}">
      <dgm:prSet custT="1"/>
      <dgm:spPr/>
      <dgm:t>
        <a:bodyPr/>
        <a:lstStyle/>
        <a:p>
          <a:endParaRPr lang="es-EC" sz="400"/>
        </a:p>
      </dgm:t>
    </dgm:pt>
    <dgm:pt modelId="{915BAA5A-60CE-4806-82CF-40939CFFFC0C}">
      <dgm:prSet phldrT="[Texto]" custT="1"/>
      <dgm:spPr/>
      <dgm:t>
        <a:bodyPr/>
        <a:lstStyle/>
        <a:p>
          <a:r>
            <a:rPr lang="en-US" sz="2000" dirty="0"/>
            <a:t>Report results of typology of adaptation measures (baselines - final surveys)</a:t>
          </a:r>
          <a:endParaRPr lang="es-EC" sz="1400" dirty="0"/>
        </a:p>
      </dgm:t>
    </dgm:pt>
    <dgm:pt modelId="{8A61FD0A-5409-495F-B7A0-E4A5656328EF}" type="parTrans" cxnId="{98F68988-7844-4A0E-A3AF-D559D9CBE389}">
      <dgm:prSet/>
      <dgm:spPr/>
      <dgm:t>
        <a:bodyPr/>
        <a:lstStyle/>
        <a:p>
          <a:endParaRPr lang="es-EC" sz="1600"/>
        </a:p>
      </dgm:t>
    </dgm:pt>
    <dgm:pt modelId="{2AF6F5C5-4278-4F7D-A2DE-9256590D1300}" type="sibTrans" cxnId="{98F68988-7844-4A0E-A3AF-D559D9CBE389}">
      <dgm:prSet custT="1"/>
      <dgm:spPr/>
      <dgm:t>
        <a:bodyPr/>
        <a:lstStyle/>
        <a:p>
          <a:endParaRPr lang="es-EC" sz="400"/>
        </a:p>
      </dgm:t>
    </dgm:pt>
    <dgm:pt modelId="{9897F717-20BD-4C91-9ABA-FA69BE5F9C7B}">
      <dgm:prSet phldrT="[Texto]" custT="1"/>
      <dgm:spPr/>
      <dgm:t>
        <a:bodyPr/>
        <a:lstStyle/>
        <a:p>
          <a:r>
            <a:rPr lang="en-US" sz="2000" dirty="0"/>
            <a:t>Sustainability and closure strengthening plan report</a:t>
          </a:r>
          <a:endParaRPr lang="es-EC" sz="2000" dirty="0"/>
        </a:p>
      </dgm:t>
    </dgm:pt>
    <dgm:pt modelId="{F15C7456-52CB-4C3D-80A6-3CB1CEC04FEF}" type="parTrans" cxnId="{1DCEBF13-537C-4629-B069-333F6D073DC1}">
      <dgm:prSet/>
      <dgm:spPr/>
      <dgm:t>
        <a:bodyPr/>
        <a:lstStyle/>
        <a:p>
          <a:endParaRPr lang="es-EC" sz="1600"/>
        </a:p>
      </dgm:t>
    </dgm:pt>
    <dgm:pt modelId="{DF3EF02A-CC0B-49A7-828A-2575DA69EAC2}" type="sibTrans" cxnId="{1DCEBF13-537C-4629-B069-333F6D073DC1}">
      <dgm:prSet custT="1"/>
      <dgm:spPr/>
      <dgm:t>
        <a:bodyPr/>
        <a:lstStyle/>
        <a:p>
          <a:endParaRPr lang="es-EC" sz="400"/>
        </a:p>
      </dgm:t>
    </dgm:pt>
    <dgm:pt modelId="{7A0654A5-08BE-46D6-9554-488163D1B82E}">
      <dgm:prSet phldrT="[Texto]" custT="1"/>
      <dgm:spPr/>
      <dgm:t>
        <a:bodyPr/>
        <a:lstStyle/>
        <a:p>
          <a:r>
            <a:rPr lang="en-US" sz="2000" dirty="0"/>
            <a:t>Act of termination of the MAE-GAD agreement</a:t>
          </a:r>
          <a:endParaRPr lang="es-EC" sz="2000" dirty="0"/>
        </a:p>
      </dgm:t>
    </dgm:pt>
    <dgm:pt modelId="{A1DCFA9E-BD79-437A-BFE1-6CE375DDC920}" type="parTrans" cxnId="{6AF239E8-112D-4B9C-87D1-B0A83B6F5AD2}">
      <dgm:prSet/>
      <dgm:spPr/>
      <dgm:t>
        <a:bodyPr/>
        <a:lstStyle/>
        <a:p>
          <a:endParaRPr lang="es-EC" sz="1600"/>
        </a:p>
      </dgm:t>
    </dgm:pt>
    <dgm:pt modelId="{315CF915-A570-4292-8268-CA5246B4120A}" type="sibTrans" cxnId="{6AF239E8-112D-4B9C-87D1-B0A83B6F5AD2}">
      <dgm:prSet custT="1"/>
      <dgm:spPr/>
      <dgm:t>
        <a:bodyPr/>
        <a:lstStyle/>
        <a:p>
          <a:endParaRPr lang="es-EC" sz="400"/>
        </a:p>
      </dgm:t>
    </dgm:pt>
    <dgm:pt modelId="{0926A719-06B0-4ED0-86C3-97EDFD23B73C}">
      <dgm:prSet phldrT="[Texto]" custT="1"/>
      <dgm:spPr/>
      <dgm:t>
        <a:bodyPr/>
        <a:lstStyle/>
        <a:p>
          <a:r>
            <a:rPr lang="en-US" sz="2000" dirty="0"/>
            <a:t>Global Report to the donor 2018</a:t>
          </a:r>
          <a:endParaRPr lang="es-EC" sz="2000" dirty="0"/>
        </a:p>
      </dgm:t>
    </dgm:pt>
    <dgm:pt modelId="{00CCE1B8-9DC4-4C7C-914B-4464FE30E3C4}" type="parTrans" cxnId="{2C8F4B9A-A71D-430B-8A14-FE5D78D45557}">
      <dgm:prSet/>
      <dgm:spPr/>
      <dgm:t>
        <a:bodyPr/>
        <a:lstStyle/>
        <a:p>
          <a:endParaRPr lang="es-EC" sz="1600"/>
        </a:p>
      </dgm:t>
    </dgm:pt>
    <dgm:pt modelId="{E47A0E8D-EAA6-42EE-B83C-7BB7CEDDB2B4}" type="sibTrans" cxnId="{2C8F4B9A-A71D-430B-8A14-FE5D78D45557}">
      <dgm:prSet/>
      <dgm:spPr/>
      <dgm:t>
        <a:bodyPr/>
        <a:lstStyle/>
        <a:p>
          <a:endParaRPr lang="es-EC" sz="1600"/>
        </a:p>
      </dgm:t>
    </dgm:pt>
    <dgm:pt modelId="{51F03544-DF2D-4E4C-971D-5A92AE6710F1}" type="pres">
      <dgm:prSet presAssocID="{B9A5D1F7-4A68-4A5B-9F2D-3E9244866A1C}" presName="Name0" presStyleCnt="0">
        <dgm:presLayoutVars>
          <dgm:dir/>
          <dgm:resizeHandles val="exact"/>
        </dgm:presLayoutVars>
      </dgm:prSet>
      <dgm:spPr/>
    </dgm:pt>
    <dgm:pt modelId="{127F21D8-FBFA-4AC4-9BF5-EDA3B4CC14D1}" type="pres">
      <dgm:prSet presAssocID="{49362A48-2A92-4D02-9548-1F1E06B0A7BE}" presName="node" presStyleLbl="node1" presStyleIdx="0" presStyleCnt="6">
        <dgm:presLayoutVars>
          <dgm:bulletEnabled val="1"/>
        </dgm:presLayoutVars>
      </dgm:prSet>
      <dgm:spPr/>
    </dgm:pt>
    <dgm:pt modelId="{A200ADB7-651C-4397-8AE6-1BB410FEE668}" type="pres">
      <dgm:prSet presAssocID="{45779D5D-2AE9-4845-9B10-6F4B1F1C4541}" presName="sibTrans" presStyleLbl="sibTrans1D1" presStyleIdx="0" presStyleCnt="5"/>
      <dgm:spPr/>
    </dgm:pt>
    <dgm:pt modelId="{568BF988-CA8E-4B50-B462-76C4DD06FF90}" type="pres">
      <dgm:prSet presAssocID="{45779D5D-2AE9-4845-9B10-6F4B1F1C4541}" presName="connectorText" presStyleLbl="sibTrans1D1" presStyleIdx="0" presStyleCnt="5"/>
      <dgm:spPr/>
    </dgm:pt>
    <dgm:pt modelId="{8BF011AD-0BBE-4C2B-943F-3F082966BA02}" type="pres">
      <dgm:prSet presAssocID="{CF14D2F0-7E34-4E7C-AB09-F78459A276E9}" presName="node" presStyleLbl="node1" presStyleIdx="1" presStyleCnt="6">
        <dgm:presLayoutVars>
          <dgm:bulletEnabled val="1"/>
        </dgm:presLayoutVars>
      </dgm:prSet>
      <dgm:spPr/>
    </dgm:pt>
    <dgm:pt modelId="{7CF39607-192E-4EC8-8A2B-28318A66DF1D}" type="pres">
      <dgm:prSet presAssocID="{716EE64A-A3A7-441C-8E87-2087F45B148F}" presName="sibTrans" presStyleLbl="sibTrans1D1" presStyleIdx="1" presStyleCnt="5"/>
      <dgm:spPr/>
    </dgm:pt>
    <dgm:pt modelId="{8EAF5407-AF78-4CD5-96E2-D19FDB6B6506}" type="pres">
      <dgm:prSet presAssocID="{716EE64A-A3A7-441C-8E87-2087F45B148F}" presName="connectorText" presStyleLbl="sibTrans1D1" presStyleIdx="1" presStyleCnt="5"/>
      <dgm:spPr/>
    </dgm:pt>
    <dgm:pt modelId="{4BD483D2-735C-41FD-AD9D-2F2B0E398220}" type="pres">
      <dgm:prSet presAssocID="{915BAA5A-60CE-4806-82CF-40939CFFFC0C}" presName="node" presStyleLbl="node1" presStyleIdx="2" presStyleCnt="6">
        <dgm:presLayoutVars>
          <dgm:bulletEnabled val="1"/>
        </dgm:presLayoutVars>
      </dgm:prSet>
      <dgm:spPr/>
    </dgm:pt>
    <dgm:pt modelId="{38FB2D05-0376-46AD-B24F-7825ED14E21D}" type="pres">
      <dgm:prSet presAssocID="{2AF6F5C5-4278-4F7D-A2DE-9256590D1300}" presName="sibTrans" presStyleLbl="sibTrans1D1" presStyleIdx="2" presStyleCnt="5"/>
      <dgm:spPr/>
    </dgm:pt>
    <dgm:pt modelId="{F4BC41D1-2C67-4E0F-A4FC-77CE5B345D90}" type="pres">
      <dgm:prSet presAssocID="{2AF6F5C5-4278-4F7D-A2DE-9256590D1300}" presName="connectorText" presStyleLbl="sibTrans1D1" presStyleIdx="2" presStyleCnt="5"/>
      <dgm:spPr/>
    </dgm:pt>
    <dgm:pt modelId="{7AA5568B-77D5-49E4-817F-EDB337488C0A}" type="pres">
      <dgm:prSet presAssocID="{9897F717-20BD-4C91-9ABA-FA69BE5F9C7B}" presName="node" presStyleLbl="node1" presStyleIdx="3" presStyleCnt="6">
        <dgm:presLayoutVars>
          <dgm:bulletEnabled val="1"/>
        </dgm:presLayoutVars>
      </dgm:prSet>
      <dgm:spPr/>
    </dgm:pt>
    <dgm:pt modelId="{C351B94B-4D02-4338-A8D8-FA36DE3D9A5D}" type="pres">
      <dgm:prSet presAssocID="{DF3EF02A-CC0B-49A7-828A-2575DA69EAC2}" presName="sibTrans" presStyleLbl="sibTrans1D1" presStyleIdx="3" presStyleCnt="5"/>
      <dgm:spPr/>
    </dgm:pt>
    <dgm:pt modelId="{818DBFEF-6896-4500-82C6-E22252C138BF}" type="pres">
      <dgm:prSet presAssocID="{DF3EF02A-CC0B-49A7-828A-2575DA69EAC2}" presName="connectorText" presStyleLbl="sibTrans1D1" presStyleIdx="3" presStyleCnt="5"/>
      <dgm:spPr/>
    </dgm:pt>
    <dgm:pt modelId="{6666B8E3-FC2C-4AF9-9DC4-5BEDE595E96D}" type="pres">
      <dgm:prSet presAssocID="{7A0654A5-08BE-46D6-9554-488163D1B82E}" presName="node" presStyleLbl="node1" presStyleIdx="4" presStyleCnt="6">
        <dgm:presLayoutVars>
          <dgm:bulletEnabled val="1"/>
        </dgm:presLayoutVars>
      </dgm:prSet>
      <dgm:spPr/>
    </dgm:pt>
    <dgm:pt modelId="{4346C5FF-754F-47A3-9462-C4DC7068FAB3}" type="pres">
      <dgm:prSet presAssocID="{315CF915-A570-4292-8268-CA5246B4120A}" presName="sibTrans" presStyleLbl="sibTrans1D1" presStyleIdx="4" presStyleCnt="5"/>
      <dgm:spPr/>
    </dgm:pt>
    <dgm:pt modelId="{6CF7FDB9-AF3F-4DC4-A10A-73AF10812B04}" type="pres">
      <dgm:prSet presAssocID="{315CF915-A570-4292-8268-CA5246B4120A}" presName="connectorText" presStyleLbl="sibTrans1D1" presStyleIdx="4" presStyleCnt="5"/>
      <dgm:spPr/>
    </dgm:pt>
    <dgm:pt modelId="{B8059EF1-6233-4940-BC39-5758BA2782F0}" type="pres">
      <dgm:prSet presAssocID="{0926A719-06B0-4ED0-86C3-97EDFD23B73C}" presName="node" presStyleLbl="node1" presStyleIdx="5" presStyleCnt="6">
        <dgm:presLayoutVars>
          <dgm:bulletEnabled val="1"/>
        </dgm:presLayoutVars>
      </dgm:prSet>
      <dgm:spPr/>
    </dgm:pt>
  </dgm:ptLst>
  <dgm:cxnLst>
    <dgm:cxn modelId="{A509D906-2409-49D6-9649-B065352DEE60}" srcId="{B9A5D1F7-4A68-4A5B-9F2D-3E9244866A1C}" destId="{49362A48-2A92-4D02-9548-1F1E06B0A7BE}" srcOrd="0" destOrd="0" parTransId="{4AEE86B9-C70C-484F-B6A7-BA22044A8346}" sibTransId="{45779D5D-2AE9-4845-9B10-6F4B1F1C4541}"/>
    <dgm:cxn modelId="{1DCEBF13-537C-4629-B069-333F6D073DC1}" srcId="{B9A5D1F7-4A68-4A5B-9F2D-3E9244866A1C}" destId="{9897F717-20BD-4C91-9ABA-FA69BE5F9C7B}" srcOrd="3" destOrd="0" parTransId="{F15C7456-52CB-4C3D-80A6-3CB1CEC04FEF}" sibTransId="{DF3EF02A-CC0B-49A7-828A-2575DA69EAC2}"/>
    <dgm:cxn modelId="{11AC241A-487F-4A48-80A0-5F2B14467D28}" type="presOf" srcId="{915BAA5A-60CE-4806-82CF-40939CFFFC0C}" destId="{4BD483D2-735C-41FD-AD9D-2F2B0E398220}" srcOrd="0" destOrd="0" presId="urn:microsoft.com/office/officeart/2005/8/layout/bProcess3"/>
    <dgm:cxn modelId="{35416634-5F46-4E84-8389-B56C19DC45A6}" srcId="{B9A5D1F7-4A68-4A5B-9F2D-3E9244866A1C}" destId="{CF14D2F0-7E34-4E7C-AB09-F78459A276E9}" srcOrd="1" destOrd="0" parTransId="{851BCD51-4A3A-4171-9553-393AA04D659D}" sibTransId="{716EE64A-A3A7-441C-8E87-2087F45B148F}"/>
    <dgm:cxn modelId="{A56D4636-4C92-43F3-BDE7-854259355680}" type="presOf" srcId="{DF3EF02A-CC0B-49A7-828A-2575DA69EAC2}" destId="{C351B94B-4D02-4338-A8D8-FA36DE3D9A5D}" srcOrd="0" destOrd="0" presId="urn:microsoft.com/office/officeart/2005/8/layout/bProcess3"/>
    <dgm:cxn modelId="{EEDC624D-2E94-47C8-8EED-885106916F6B}" type="presOf" srcId="{49362A48-2A92-4D02-9548-1F1E06B0A7BE}" destId="{127F21D8-FBFA-4AC4-9BF5-EDA3B4CC14D1}" srcOrd="0" destOrd="0" presId="urn:microsoft.com/office/officeart/2005/8/layout/bProcess3"/>
    <dgm:cxn modelId="{98F68988-7844-4A0E-A3AF-D559D9CBE389}" srcId="{B9A5D1F7-4A68-4A5B-9F2D-3E9244866A1C}" destId="{915BAA5A-60CE-4806-82CF-40939CFFFC0C}" srcOrd="2" destOrd="0" parTransId="{8A61FD0A-5409-495F-B7A0-E4A5656328EF}" sibTransId="{2AF6F5C5-4278-4F7D-A2DE-9256590D1300}"/>
    <dgm:cxn modelId="{0BD1A695-C364-411C-A495-7CA3D98C98A4}" type="presOf" srcId="{2AF6F5C5-4278-4F7D-A2DE-9256590D1300}" destId="{38FB2D05-0376-46AD-B24F-7825ED14E21D}" srcOrd="0" destOrd="0" presId="urn:microsoft.com/office/officeart/2005/8/layout/bProcess3"/>
    <dgm:cxn modelId="{2C8F4B9A-A71D-430B-8A14-FE5D78D45557}" srcId="{B9A5D1F7-4A68-4A5B-9F2D-3E9244866A1C}" destId="{0926A719-06B0-4ED0-86C3-97EDFD23B73C}" srcOrd="5" destOrd="0" parTransId="{00CCE1B8-9DC4-4C7C-914B-4464FE30E3C4}" sibTransId="{E47A0E8D-EAA6-42EE-B83C-7BB7CEDDB2B4}"/>
    <dgm:cxn modelId="{9A43819A-2E78-4FC5-A915-B67ED6F18B1B}" type="presOf" srcId="{DF3EF02A-CC0B-49A7-828A-2575DA69EAC2}" destId="{818DBFEF-6896-4500-82C6-E22252C138BF}" srcOrd="1" destOrd="0" presId="urn:microsoft.com/office/officeart/2005/8/layout/bProcess3"/>
    <dgm:cxn modelId="{98BE57AC-18E3-4242-958E-B96EAC9AB0CD}" type="presOf" srcId="{0926A719-06B0-4ED0-86C3-97EDFD23B73C}" destId="{B8059EF1-6233-4940-BC39-5758BA2782F0}" srcOrd="0" destOrd="0" presId="urn:microsoft.com/office/officeart/2005/8/layout/bProcess3"/>
    <dgm:cxn modelId="{4AF658AF-86E3-4603-942A-F11EFD77C2B2}" type="presOf" srcId="{45779D5D-2AE9-4845-9B10-6F4B1F1C4541}" destId="{568BF988-CA8E-4B50-B462-76C4DD06FF90}" srcOrd="1" destOrd="0" presId="urn:microsoft.com/office/officeart/2005/8/layout/bProcess3"/>
    <dgm:cxn modelId="{3D7B91B7-AB23-4115-A1F1-795F48D49E41}" type="presOf" srcId="{716EE64A-A3A7-441C-8E87-2087F45B148F}" destId="{8EAF5407-AF78-4CD5-96E2-D19FDB6B6506}" srcOrd="1" destOrd="0" presId="urn:microsoft.com/office/officeart/2005/8/layout/bProcess3"/>
    <dgm:cxn modelId="{676C0DBA-F6C2-4044-A418-D55E94A785B3}" type="presOf" srcId="{2AF6F5C5-4278-4F7D-A2DE-9256590D1300}" destId="{F4BC41D1-2C67-4E0F-A4FC-77CE5B345D90}" srcOrd="1" destOrd="0" presId="urn:microsoft.com/office/officeart/2005/8/layout/bProcess3"/>
    <dgm:cxn modelId="{AA8622BA-D1AF-4A7A-8073-B740033467C8}" type="presOf" srcId="{45779D5D-2AE9-4845-9B10-6F4B1F1C4541}" destId="{A200ADB7-651C-4397-8AE6-1BB410FEE668}" srcOrd="0" destOrd="0" presId="urn:microsoft.com/office/officeart/2005/8/layout/bProcess3"/>
    <dgm:cxn modelId="{D752F4BB-51EC-44AB-8000-1FB0D0335E41}" type="presOf" srcId="{CF14D2F0-7E34-4E7C-AB09-F78459A276E9}" destId="{8BF011AD-0BBE-4C2B-943F-3F082966BA02}" srcOrd="0" destOrd="0" presId="urn:microsoft.com/office/officeart/2005/8/layout/bProcess3"/>
    <dgm:cxn modelId="{1242BCCA-6A15-4A01-A3C6-F3195771E3BB}" type="presOf" srcId="{315CF915-A570-4292-8268-CA5246B4120A}" destId="{6CF7FDB9-AF3F-4DC4-A10A-73AF10812B04}" srcOrd="1" destOrd="0" presId="urn:microsoft.com/office/officeart/2005/8/layout/bProcess3"/>
    <dgm:cxn modelId="{A5140CCE-674C-4FAB-AE85-8BDBF4774520}" type="presOf" srcId="{716EE64A-A3A7-441C-8E87-2087F45B148F}" destId="{7CF39607-192E-4EC8-8A2B-28318A66DF1D}" srcOrd="0" destOrd="0" presId="urn:microsoft.com/office/officeart/2005/8/layout/bProcess3"/>
    <dgm:cxn modelId="{4268C4D3-7602-47AD-BBA2-860B834CB59F}" type="presOf" srcId="{9897F717-20BD-4C91-9ABA-FA69BE5F9C7B}" destId="{7AA5568B-77D5-49E4-817F-EDB337488C0A}" srcOrd="0" destOrd="0" presId="urn:microsoft.com/office/officeart/2005/8/layout/bProcess3"/>
    <dgm:cxn modelId="{04B65EDE-6370-4ACE-93C0-EF1FB83247D1}" type="presOf" srcId="{B9A5D1F7-4A68-4A5B-9F2D-3E9244866A1C}" destId="{51F03544-DF2D-4E4C-971D-5A92AE6710F1}" srcOrd="0" destOrd="0" presId="urn:microsoft.com/office/officeart/2005/8/layout/bProcess3"/>
    <dgm:cxn modelId="{6AF239E8-112D-4B9C-87D1-B0A83B6F5AD2}" srcId="{B9A5D1F7-4A68-4A5B-9F2D-3E9244866A1C}" destId="{7A0654A5-08BE-46D6-9554-488163D1B82E}" srcOrd="4" destOrd="0" parTransId="{A1DCFA9E-BD79-437A-BFE1-6CE375DDC920}" sibTransId="{315CF915-A570-4292-8268-CA5246B4120A}"/>
    <dgm:cxn modelId="{D68865EB-ED29-4100-9A44-C984C2756238}" type="presOf" srcId="{315CF915-A570-4292-8268-CA5246B4120A}" destId="{4346C5FF-754F-47A3-9462-C4DC7068FAB3}" srcOrd="0" destOrd="0" presId="urn:microsoft.com/office/officeart/2005/8/layout/bProcess3"/>
    <dgm:cxn modelId="{EA57FAED-4278-4512-932C-7EADF532B202}" type="presOf" srcId="{7A0654A5-08BE-46D6-9554-488163D1B82E}" destId="{6666B8E3-FC2C-4AF9-9DC4-5BEDE595E96D}" srcOrd="0" destOrd="0" presId="urn:microsoft.com/office/officeart/2005/8/layout/bProcess3"/>
    <dgm:cxn modelId="{C41ADEB2-59C3-4628-936E-3C5BE9DE3BB6}" type="presParOf" srcId="{51F03544-DF2D-4E4C-971D-5A92AE6710F1}" destId="{127F21D8-FBFA-4AC4-9BF5-EDA3B4CC14D1}" srcOrd="0" destOrd="0" presId="urn:microsoft.com/office/officeart/2005/8/layout/bProcess3"/>
    <dgm:cxn modelId="{CE09E1C9-1F33-48CB-803A-694085D61BA0}" type="presParOf" srcId="{51F03544-DF2D-4E4C-971D-5A92AE6710F1}" destId="{A200ADB7-651C-4397-8AE6-1BB410FEE668}" srcOrd="1" destOrd="0" presId="urn:microsoft.com/office/officeart/2005/8/layout/bProcess3"/>
    <dgm:cxn modelId="{67364B49-B73C-459C-80F9-CAF97AF16207}" type="presParOf" srcId="{A200ADB7-651C-4397-8AE6-1BB410FEE668}" destId="{568BF988-CA8E-4B50-B462-76C4DD06FF90}" srcOrd="0" destOrd="0" presId="urn:microsoft.com/office/officeart/2005/8/layout/bProcess3"/>
    <dgm:cxn modelId="{79CEB9BC-74AE-484B-B018-836F05BA50FC}" type="presParOf" srcId="{51F03544-DF2D-4E4C-971D-5A92AE6710F1}" destId="{8BF011AD-0BBE-4C2B-943F-3F082966BA02}" srcOrd="2" destOrd="0" presId="urn:microsoft.com/office/officeart/2005/8/layout/bProcess3"/>
    <dgm:cxn modelId="{9365C90B-4D51-4767-88DE-94D59CEFF499}" type="presParOf" srcId="{51F03544-DF2D-4E4C-971D-5A92AE6710F1}" destId="{7CF39607-192E-4EC8-8A2B-28318A66DF1D}" srcOrd="3" destOrd="0" presId="urn:microsoft.com/office/officeart/2005/8/layout/bProcess3"/>
    <dgm:cxn modelId="{61EC5E91-F2A4-4000-B7E2-FB26501B441B}" type="presParOf" srcId="{7CF39607-192E-4EC8-8A2B-28318A66DF1D}" destId="{8EAF5407-AF78-4CD5-96E2-D19FDB6B6506}" srcOrd="0" destOrd="0" presId="urn:microsoft.com/office/officeart/2005/8/layout/bProcess3"/>
    <dgm:cxn modelId="{EDE4917B-EACE-4A57-9CFC-27C413C9EB7C}" type="presParOf" srcId="{51F03544-DF2D-4E4C-971D-5A92AE6710F1}" destId="{4BD483D2-735C-41FD-AD9D-2F2B0E398220}" srcOrd="4" destOrd="0" presId="urn:microsoft.com/office/officeart/2005/8/layout/bProcess3"/>
    <dgm:cxn modelId="{DBE07FAE-364C-4437-A1B9-01687049A574}" type="presParOf" srcId="{51F03544-DF2D-4E4C-971D-5A92AE6710F1}" destId="{38FB2D05-0376-46AD-B24F-7825ED14E21D}" srcOrd="5" destOrd="0" presId="urn:microsoft.com/office/officeart/2005/8/layout/bProcess3"/>
    <dgm:cxn modelId="{2E8BE85A-AA38-4BF7-9335-808465C34B0F}" type="presParOf" srcId="{38FB2D05-0376-46AD-B24F-7825ED14E21D}" destId="{F4BC41D1-2C67-4E0F-A4FC-77CE5B345D90}" srcOrd="0" destOrd="0" presId="urn:microsoft.com/office/officeart/2005/8/layout/bProcess3"/>
    <dgm:cxn modelId="{61882586-B09C-48DC-AECB-388C658802EC}" type="presParOf" srcId="{51F03544-DF2D-4E4C-971D-5A92AE6710F1}" destId="{7AA5568B-77D5-49E4-817F-EDB337488C0A}" srcOrd="6" destOrd="0" presId="urn:microsoft.com/office/officeart/2005/8/layout/bProcess3"/>
    <dgm:cxn modelId="{A9991357-8BF4-4866-9731-FE30C35F4F96}" type="presParOf" srcId="{51F03544-DF2D-4E4C-971D-5A92AE6710F1}" destId="{C351B94B-4D02-4338-A8D8-FA36DE3D9A5D}" srcOrd="7" destOrd="0" presId="urn:microsoft.com/office/officeart/2005/8/layout/bProcess3"/>
    <dgm:cxn modelId="{B5202C97-3670-449C-918E-5C6A080D9BB3}" type="presParOf" srcId="{C351B94B-4D02-4338-A8D8-FA36DE3D9A5D}" destId="{818DBFEF-6896-4500-82C6-E22252C138BF}" srcOrd="0" destOrd="0" presId="urn:microsoft.com/office/officeart/2005/8/layout/bProcess3"/>
    <dgm:cxn modelId="{3ADCDA94-BA21-4287-B5D5-5933DF07B7F0}" type="presParOf" srcId="{51F03544-DF2D-4E4C-971D-5A92AE6710F1}" destId="{6666B8E3-FC2C-4AF9-9DC4-5BEDE595E96D}" srcOrd="8" destOrd="0" presId="urn:microsoft.com/office/officeart/2005/8/layout/bProcess3"/>
    <dgm:cxn modelId="{7145487C-3465-4610-B144-957E8C678288}" type="presParOf" srcId="{51F03544-DF2D-4E4C-971D-5A92AE6710F1}" destId="{4346C5FF-754F-47A3-9462-C4DC7068FAB3}" srcOrd="9" destOrd="0" presId="urn:microsoft.com/office/officeart/2005/8/layout/bProcess3"/>
    <dgm:cxn modelId="{140B5E45-B0EC-476A-BB86-440AAE4631B1}" type="presParOf" srcId="{4346C5FF-754F-47A3-9462-C4DC7068FAB3}" destId="{6CF7FDB9-AF3F-4DC4-A10A-73AF10812B04}" srcOrd="0" destOrd="0" presId="urn:microsoft.com/office/officeart/2005/8/layout/bProcess3"/>
    <dgm:cxn modelId="{5DDEFCC1-F41D-4C2E-92EB-F484E4A953EC}" type="presParOf" srcId="{51F03544-DF2D-4E4C-971D-5A92AE6710F1}" destId="{B8059EF1-6233-4940-BC39-5758BA2782F0}" srcOrd="10" destOrd="0" presId="urn:microsoft.com/office/officeart/2005/8/layout/bProcess3"/>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A200ADB7-651C-4397-8AE6-1BB410FEE668}">
      <dsp:nvSpPr>
        <dsp:cNvPr id="0" name=""/>
        <dsp:cNvSpPr/>
      </dsp:nvSpPr>
      <dsp:spPr>
        <a:xfrm>
          <a:off x="3106202" y="769761"/>
          <a:ext cx="593465" cy="91440"/>
        </a:xfrm>
        <a:custGeom>
          <a:avLst/>
          <a:gdLst/>
          <a:ahLst/>
          <a:cxnLst/>
          <a:rect l="0" t="0" r="0" b="0"/>
          <a:pathLst>
            <a:path>
              <a:moveTo>
                <a:pt x="0" y="45720"/>
              </a:moveTo>
              <a:lnTo>
                <a:pt x="593465" y="45720"/>
              </a:lnTo>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es-EC" sz="400" kern="1200"/>
        </a:p>
      </dsp:txBody>
      <dsp:txXfrm>
        <a:off x="3387333" y="812361"/>
        <a:ext cx="31203" cy="6240"/>
      </dsp:txXfrm>
    </dsp:sp>
    <dsp:sp modelId="{127F21D8-FBFA-4AC4-9BF5-EDA3B4CC14D1}">
      <dsp:nvSpPr>
        <dsp:cNvPr id="0" name=""/>
        <dsp:cNvSpPr/>
      </dsp:nvSpPr>
      <dsp:spPr>
        <a:xfrm>
          <a:off x="394674" y="1483"/>
          <a:ext cx="2713327" cy="1627996"/>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42240" tIns="142240" rIns="142240" bIns="142240" numCol="1" spcCol="1270" anchor="ctr" anchorCtr="0">
          <a:noAutofit/>
        </a:bodyPr>
        <a:lstStyle/>
        <a:p>
          <a:pPr marL="0" lvl="0" indent="0" algn="ctr" defTabSz="889000">
            <a:lnSpc>
              <a:spcPct val="90000"/>
            </a:lnSpc>
            <a:spcBef>
              <a:spcPct val="0"/>
            </a:spcBef>
            <a:spcAft>
              <a:spcPct val="35000"/>
            </a:spcAft>
            <a:buNone/>
          </a:pPr>
          <a:r>
            <a:rPr lang="en-US" sz="2000" kern="1200" dirty="0"/>
            <a:t>Help memory evaluation workshop of the measure</a:t>
          </a:r>
          <a:endParaRPr lang="es-EC" sz="2000" kern="1200" dirty="0"/>
        </a:p>
      </dsp:txBody>
      <dsp:txXfrm>
        <a:off x="394674" y="1483"/>
        <a:ext cx="2713327" cy="1627996"/>
      </dsp:txXfrm>
    </dsp:sp>
    <dsp:sp modelId="{7CF39607-192E-4EC8-8A2B-28318A66DF1D}">
      <dsp:nvSpPr>
        <dsp:cNvPr id="0" name=""/>
        <dsp:cNvSpPr/>
      </dsp:nvSpPr>
      <dsp:spPr>
        <a:xfrm>
          <a:off x="6443594" y="769761"/>
          <a:ext cx="593465" cy="91440"/>
        </a:xfrm>
        <a:custGeom>
          <a:avLst/>
          <a:gdLst/>
          <a:ahLst/>
          <a:cxnLst/>
          <a:rect l="0" t="0" r="0" b="0"/>
          <a:pathLst>
            <a:path>
              <a:moveTo>
                <a:pt x="0" y="45720"/>
              </a:moveTo>
              <a:lnTo>
                <a:pt x="593465" y="45720"/>
              </a:lnTo>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es-EC" sz="400" kern="1200"/>
        </a:p>
      </dsp:txBody>
      <dsp:txXfrm>
        <a:off x="6724725" y="812361"/>
        <a:ext cx="31203" cy="6240"/>
      </dsp:txXfrm>
    </dsp:sp>
    <dsp:sp modelId="{8BF011AD-0BBE-4C2B-943F-3F082966BA02}">
      <dsp:nvSpPr>
        <dsp:cNvPr id="0" name=""/>
        <dsp:cNvSpPr/>
      </dsp:nvSpPr>
      <dsp:spPr>
        <a:xfrm>
          <a:off x="3732067" y="1483"/>
          <a:ext cx="2713327" cy="1627996"/>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42240" tIns="142240" rIns="142240" bIns="142240" numCol="1" spcCol="1270" anchor="ctr" anchorCtr="0">
          <a:noAutofit/>
        </a:bodyPr>
        <a:lstStyle/>
        <a:p>
          <a:pPr marL="0" lvl="0" indent="0" algn="ctr" defTabSz="889000">
            <a:lnSpc>
              <a:spcPct val="90000"/>
            </a:lnSpc>
            <a:spcBef>
              <a:spcPct val="0"/>
            </a:spcBef>
            <a:spcAft>
              <a:spcPct val="35000"/>
            </a:spcAft>
            <a:buNone/>
          </a:pPr>
          <a:r>
            <a:rPr lang="en-US" sz="2000" kern="1200" dirty="0"/>
            <a:t>Report on the evaluation and completion of the adaptation measure</a:t>
          </a:r>
          <a:endParaRPr lang="es-EC" sz="2000" kern="1200" dirty="0"/>
        </a:p>
      </dsp:txBody>
      <dsp:txXfrm>
        <a:off x="3732067" y="1483"/>
        <a:ext cx="2713327" cy="1627996"/>
      </dsp:txXfrm>
    </dsp:sp>
    <dsp:sp modelId="{38FB2D05-0376-46AD-B24F-7825ED14E21D}">
      <dsp:nvSpPr>
        <dsp:cNvPr id="0" name=""/>
        <dsp:cNvSpPr/>
      </dsp:nvSpPr>
      <dsp:spPr>
        <a:xfrm>
          <a:off x="1751338" y="1627679"/>
          <a:ext cx="6674785" cy="593465"/>
        </a:xfrm>
        <a:custGeom>
          <a:avLst/>
          <a:gdLst/>
          <a:ahLst/>
          <a:cxnLst/>
          <a:rect l="0" t="0" r="0" b="0"/>
          <a:pathLst>
            <a:path>
              <a:moveTo>
                <a:pt x="6674785" y="0"/>
              </a:moveTo>
              <a:lnTo>
                <a:pt x="6674785" y="313832"/>
              </a:lnTo>
              <a:lnTo>
                <a:pt x="0" y="313832"/>
              </a:lnTo>
              <a:lnTo>
                <a:pt x="0" y="593465"/>
              </a:lnTo>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es-EC" sz="400" kern="1200"/>
        </a:p>
      </dsp:txBody>
      <dsp:txXfrm>
        <a:off x="4921133" y="1921292"/>
        <a:ext cx="335194" cy="6240"/>
      </dsp:txXfrm>
    </dsp:sp>
    <dsp:sp modelId="{4BD483D2-735C-41FD-AD9D-2F2B0E398220}">
      <dsp:nvSpPr>
        <dsp:cNvPr id="0" name=""/>
        <dsp:cNvSpPr/>
      </dsp:nvSpPr>
      <dsp:spPr>
        <a:xfrm>
          <a:off x="7069459" y="1483"/>
          <a:ext cx="2713327" cy="1627996"/>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42240" tIns="142240" rIns="142240" bIns="142240" numCol="1" spcCol="1270" anchor="ctr" anchorCtr="0">
          <a:noAutofit/>
        </a:bodyPr>
        <a:lstStyle/>
        <a:p>
          <a:pPr marL="0" lvl="0" indent="0" algn="ctr" defTabSz="889000">
            <a:lnSpc>
              <a:spcPct val="90000"/>
            </a:lnSpc>
            <a:spcBef>
              <a:spcPct val="0"/>
            </a:spcBef>
            <a:spcAft>
              <a:spcPct val="35000"/>
            </a:spcAft>
            <a:buNone/>
          </a:pPr>
          <a:r>
            <a:rPr lang="en-US" sz="2000" kern="1200" dirty="0"/>
            <a:t>Report results of typology of adaptation measures (baselines - final surveys)</a:t>
          </a:r>
          <a:endParaRPr lang="es-EC" sz="1400" kern="1200" dirty="0"/>
        </a:p>
      </dsp:txBody>
      <dsp:txXfrm>
        <a:off x="7069459" y="1483"/>
        <a:ext cx="2713327" cy="1627996"/>
      </dsp:txXfrm>
    </dsp:sp>
    <dsp:sp modelId="{C351B94B-4D02-4338-A8D8-FA36DE3D9A5D}">
      <dsp:nvSpPr>
        <dsp:cNvPr id="0" name=""/>
        <dsp:cNvSpPr/>
      </dsp:nvSpPr>
      <dsp:spPr>
        <a:xfrm>
          <a:off x="3106202" y="3021823"/>
          <a:ext cx="593465" cy="91440"/>
        </a:xfrm>
        <a:custGeom>
          <a:avLst/>
          <a:gdLst/>
          <a:ahLst/>
          <a:cxnLst/>
          <a:rect l="0" t="0" r="0" b="0"/>
          <a:pathLst>
            <a:path>
              <a:moveTo>
                <a:pt x="0" y="45720"/>
              </a:moveTo>
              <a:lnTo>
                <a:pt x="593465" y="45720"/>
              </a:lnTo>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es-EC" sz="400" kern="1200"/>
        </a:p>
      </dsp:txBody>
      <dsp:txXfrm>
        <a:off x="3387333" y="3064422"/>
        <a:ext cx="31203" cy="6240"/>
      </dsp:txXfrm>
    </dsp:sp>
    <dsp:sp modelId="{7AA5568B-77D5-49E4-817F-EDB337488C0A}">
      <dsp:nvSpPr>
        <dsp:cNvPr id="0" name=""/>
        <dsp:cNvSpPr/>
      </dsp:nvSpPr>
      <dsp:spPr>
        <a:xfrm>
          <a:off x="394674" y="2253545"/>
          <a:ext cx="2713327" cy="1627996"/>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42240" tIns="142240" rIns="142240" bIns="142240" numCol="1" spcCol="1270" anchor="ctr" anchorCtr="0">
          <a:noAutofit/>
        </a:bodyPr>
        <a:lstStyle/>
        <a:p>
          <a:pPr marL="0" lvl="0" indent="0" algn="ctr" defTabSz="889000">
            <a:lnSpc>
              <a:spcPct val="90000"/>
            </a:lnSpc>
            <a:spcBef>
              <a:spcPct val="0"/>
            </a:spcBef>
            <a:spcAft>
              <a:spcPct val="35000"/>
            </a:spcAft>
            <a:buNone/>
          </a:pPr>
          <a:r>
            <a:rPr lang="en-US" sz="2000" kern="1200" dirty="0"/>
            <a:t>Sustainability and closure strengthening plan report</a:t>
          </a:r>
          <a:endParaRPr lang="es-EC" sz="2000" kern="1200" dirty="0"/>
        </a:p>
      </dsp:txBody>
      <dsp:txXfrm>
        <a:off x="394674" y="2253545"/>
        <a:ext cx="2713327" cy="1627996"/>
      </dsp:txXfrm>
    </dsp:sp>
    <dsp:sp modelId="{4346C5FF-754F-47A3-9462-C4DC7068FAB3}">
      <dsp:nvSpPr>
        <dsp:cNvPr id="0" name=""/>
        <dsp:cNvSpPr/>
      </dsp:nvSpPr>
      <dsp:spPr>
        <a:xfrm>
          <a:off x="6443594" y="3021823"/>
          <a:ext cx="593465" cy="91440"/>
        </a:xfrm>
        <a:custGeom>
          <a:avLst/>
          <a:gdLst/>
          <a:ahLst/>
          <a:cxnLst/>
          <a:rect l="0" t="0" r="0" b="0"/>
          <a:pathLst>
            <a:path>
              <a:moveTo>
                <a:pt x="0" y="45720"/>
              </a:moveTo>
              <a:lnTo>
                <a:pt x="593465" y="45720"/>
              </a:lnTo>
            </a:path>
          </a:pathLst>
        </a:custGeom>
        <a:noFill/>
        <a:ln w="9525" cap="flat" cmpd="sng" algn="ctr">
          <a:solidFill>
            <a:schemeClr val="accent1">
              <a:hueOff val="0"/>
              <a:satOff val="0"/>
              <a:lumOff val="0"/>
              <a:alphaOff val="0"/>
            </a:schemeClr>
          </a:solidFill>
          <a:prstDash val="solid"/>
          <a:tailEnd type="arrow"/>
        </a:ln>
        <a:effectLst/>
      </dsp:spPr>
      <dsp:style>
        <a:lnRef idx="1">
          <a:scrgbClr r="0" g="0" b="0"/>
        </a:lnRef>
        <a:fillRef idx="0">
          <a:scrgbClr r="0" g="0" b="0"/>
        </a:fillRef>
        <a:effectRef idx="0">
          <a:scrgbClr r="0" g="0" b="0"/>
        </a:effectRef>
        <a:fontRef idx="minor"/>
      </dsp:style>
      <dsp:txBody>
        <a:bodyPr spcFirstLastPara="0" vert="horz" wrap="square" lIns="12700" tIns="0" rIns="12700" bIns="0" numCol="1" spcCol="1270" anchor="ctr" anchorCtr="0">
          <a:noAutofit/>
        </a:bodyPr>
        <a:lstStyle/>
        <a:p>
          <a:pPr marL="0" lvl="0" indent="0" algn="ctr" defTabSz="177800">
            <a:lnSpc>
              <a:spcPct val="90000"/>
            </a:lnSpc>
            <a:spcBef>
              <a:spcPct val="0"/>
            </a:spcBef>
            <a:spcAft>
              <a:spcPct val="35000"/>
            </a:spcAft>
            <a:buNone/>
          </a:pPr>
          <a:endParaRPr lang="es-EC" sz="400" kern="1200"/>
        </a:p>
      </dsp:txBody>
      <dsp:txXfrm>
        <a:off x="6724725" y="3064422"/>
        <a:ext cx="31203" cy="6240"/>
      </dsp:txXfrm>
    </dsp:sp>
    <dsp:sp modelId="{6666B8E3-FC2C-4AF9-9DC4-5BEDE595E96D}">
      <dsp:nvSpPr>
        <dsp:cNvPr id="0" name=""/>
        <dsp:cNvSpPr/>
      </dsp:nvSpPr>
      <dsp:spPr>
        <a:xfrm>
          <a:off x="3732067" y="2253545"/>
          <a:ext cx="2713327" cy="1627996"/>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42240" tIns="142240" rIns="142240" bIns="142240" numCol="1" spcCol="1270" anchor="ctr" anchorCtr="0">
          <a:noAutofit/>
        </a:bodyPr>
        <a:lstStyle/>
        <a:p>
          <a:pPr marL="0" lvl="0" indent="0" algn="ctr" defTabSz="889000">
            <a:lnSpc>
              <a:spcPct val="90000"/>
            </a:lnSpc>
            <a:spcBef>
              <a:spcPct val="0"/>
            </a:spcBef>
            <a:spcAft>
              <a:spcPct val="35000"/>
            </a:spcAft>
            <a:buNone/>
          </a:pPr>
          <a:r>
            <a:rPr lang="en-US" sz="2000" kern="1200" dirty="0"/>
            <a:t>Act of termination of the MAE-GAD agreement</a:t>
          </a:r>
          <a:endParaRPr lang="es-EC" sz="2000" kern="1200" dirty="0"/>
        </a:p>
      </dsp:txBody>
      <dsp:txXfrm>
        <a:off x="3732067" y="2253545"/>
        <a:ext cx="2713327" cy="1627996"/>
      </dsp:txXfrm>
    </dsp:sp>
    <dsp:sp modelId="{B8059EF1-6233-4940-BC39-5758BA2782F0}">
      <dsp:nvSpPr>
        <dsp:cNvPr id="0" name=""/>
        <dsp:cNvSpPr/>
      </dsp:nvSpPr>
      <dsp:spPr>
        <a:xfrm>
          <a:off x="7069459" y="2253545"/>
          <a:ext cx="2713327" cy="1627996"/>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42240" tIns="142240" rIns="142240" bIns="142240" numCol="1" spcCol="1270" anchor="ctr" anchorCtr="0">
          <a:noAutofit/>
        </a:bodyPr>
        <a:lstStyle/>
        <a:p>
          <a:pPr marL="0" lvl="0" indent="0" algn="ctr" defTabSz="889000">
            <a:lnSpc>
              <a:spcPct val="90000"/>
            </a:lnSpc>
            <a:spcBef>
              <a:spcPct val="0"/>
            </a:spcBef>
            <a:spcAft>
              <a:spcPct val="35000"/>
            </a:spcAft>
            <a:buNone/>
          </a:pPr>
          <a:r>
            <a:rPr lang="en-US" sz="2000" kern="1200" dirty="0"/>
            <a:t>Global Report to the donor 2018</a:t>
          </a:r>
          <a:endParaRPr lang="es-EC" sz="2000" kern="1200" dirty="0"/>
        </a:p>
      </dsp:txBody>
      <dsp:txXfrm>
        <a:off x="7069459" y="2253545"/>
        <a:ext cx="2713327" cy="1627996"/>
      </dsp:txXfrm>
    </dsp:sp>
  </dsp:spTree>
</dsp:drawing>
</file>

<file path=xl/diagrams/layout1.xml><?xml version="1.0" encoding="utf-8"?>
<dgm:layoutDef xmlns:dgm="http://schemas.openxmlformats.org/drawingml/2006/diagram" xmlns:a="http://schemas.openxmlformats.org/drawingml/2006/main" uniqueId="urn:microsoft.com/office/officeart/2005/8/layout/bProcess3">
  <dgm:title val=""/>
  <dgm:desc val=""/>
  <dgm:catLst>
    <dgm:cat type="process" pri="18000"/>
  </dgm:catLst>
  <dgm:sampData>
    <dgm:dataModel>
      <dgm:ptLst>
        <dgm:pt modelId="0" type="doc"/>
        <dgm:pt modelId="1">
          <dgm:prSet phldr="1"/>
        </dgm:pt>
        <dgm:pt modelId="2">
          <dgm:prSet phldr="1"/>
        </dgm:pt>
        <dgm:pt modelId="3">
          <dgm:prSet phldr="1"/>
        </dgm:pt>
        <dgm:pt modelId="4">
          <dgm:prSet phldr="1"/>
        </dgm:pt>
        <dgm:pt modelId="5">
          <dgm:prSet phldr="1"/>
        </dgm:pt>
      </dgm:ptLst>
      <dgm:cxnLst>
        <dgm:cxn modelId="7" srcId="0" destId="1" srcOrd="0" destOrd="0"/>
        <dgm:cxn modelId="8" srcId="0" destId="2" srcOrd="1" destOrd="0"/>
        <dgm:cxn modelId="9" srcId="0" destId="3" srcOrd="2" destOrd="0"/>
        <dgm:cxn modelId="10" srcId="0" destId="4" srcOrd="3" destOrd="0"/>
        <dgm:cxn modelId="11" srcId="0" destId="5" srcOrd="4"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axis="self" func="var" arg="dir" op="equ" val="norm">
        <dgm:alg type="snake">
          <dgm:param type="grDir" val="tL"/>
          <dgm:param type="flowDir" val="row"/>
          <dgm:param type="contDir" val="sameDir"/>
          <dgm:param type="bkpt" val="endCnv"/>
        </dgm:alg>
      </dgm:if>
      <dgm:else name="Name3">
        <dgm:alg type="snake">
          <dgm:param type="grDir" val="tR"/>
          <dgm:param type="flowDir" val="row"/>
          <dgm:param type="contDir" val="sameDir"/>
          <dgm:param type="bkpt" val="endCnv"/>
        </dgm:alg>
      </dgm:else>
    </dgm:choose>
    <dgm:shape xmlns:r="http://schemas.openxmlformats.org/officeDocument/2006/relationships" r:blip="">
      <dgm:adjLst/>
    </dgm:shape>
    <dgm:presOf/>
    <dgm:constrLst>
      <dgm:constr type="w" for="ch" ptType="node" refType="w"/>
      <dgm:constr type="w" for="ch" forName="sibTrans" refType="w" refFor="ch" refPtType="node" op="equ" fact="0.23"/>
      <dgm:constr type="sp" refType="w" refFor="ch" refForName="sibTrans" op="equ"/>
      <dgm:constr type="userB" for="des" forName="connectorText" refType="sp"/>
      <dgm:constr type="primFontSz" for="ch" ptType="node" op="equ" val="65"/>
      <dgm:constr type="h" for="ch" ptType="sibTrans" op="equ"/>
      <dgm:constr type="primFontSz" for="des" forName="connectorText" op="equ" val="55"/>
      <dgm:constr type="primFontSz" for="des" forName="connectorText" refType="primFontSz" refFor="ch" refPtType="node" op="lte" fact="0.8"/>
    </dgm:constrLst>
    <dgm:ruleLst/>
    <dgm:forEach name="nodesForEach" axis="ch" ptType="node">
      <dgm:layoutNode name="node">
        <dgm:varLst>
          <dgm:bulletEnabled val="1"/>
        </dgm:varLst>
        <dgm:alg type="tx"/>
        <dgm:shape xmlns:r="http://schemas.openxmlformats.org/officeDocument/2006/relationships" type="rect" r:blip="">
          <dgm:adjLst/>
        </dgm:shape>
        <dgm:presOf axis="desOrSelf" ptType="node"/>
        <dgm:constrLst>
          <dgm:constr type="h" refType="w" fact="0.6"/>
        </dgm:constrLst>
        <dgm:ruleLst>
          <dgm:rule type="primFontSz" val="5" fact="NaN" max="NaN"/>
        </dgm:ruleLst>
      </dgm:layoutNode>
      <dgm:forEach name="sibTransForEach" axis="followSib" ptType="sibTrans" cnt="1">
        <dgm:layoutNode name="sibTrans">
          <dgm:choose name="Name4">
            <dgm:if name="Name5" axis="self" func="var" arg="dir" op="equ" val="norm">
              <dgm:alg type="conn">
                <dgm:param type="connRout" val="bend"/>
                <dgm:param type="dim" val="1D"/>
                <dgm:param type="begPts" val="midR bCtr"/>
                <dgm:param type="endPts" val="midL tCtr"/>
              </dgm:alg>
            </dgm:if>
            <dgm:else name="Name6">
              <dgm:alg type="conn">
                <dgm:param type="connRout" val="bend"/>
                <dgm:param type="dim" val="1D"/>
                <dgm:param type="begPts" val="midL bCtr"/>
                <dgm:param type="endPts" val="midR tCtr"/>
              </dgm:alg>
            </dgm:else>
          </dgm:choose>
          <dgm:shape xmlns:r="http://schemas.openxmlformats.org/officeDocument/2006/relationships" type="conn" r:blip="" zOrderOff="-2">
            <dgm:adjLst/>
          </dgm:shape>
          <dgm:presOf axis="self"/>
          <dgm:constrLst>
            <dgm:constr type="begPad" val="-0.05"/>
            <dgm:constr type="endPad" val="0.9"/>
            <dgm:constr type="userA" for="ch" refType="connDist"/>
          </dgm:constrLst>
          <dgm:ruleLst/>
          <dgm:layoutNode name="connectorText">
            <dgm:alg type="tx">
              <dgm:param type="autoTxRot" val="upr"/>
            </dgm:alg>
            <dgm:shape xmlns:r="http://schemas.openxmlformats.org/officeDocument/2006/relationships" type="rect" r:blip="" hideGeom="1">
              <dgm:adjLst/>
            </dgm:shape>
            <dgm:presOf axis="self"/>
            <dgm:constrLst>
              <dgm:constr type="userA"/>
              <dgm:constr type="userB"/>
              <dgm:constr type="w" refType="userA" fact="0.05"/>
              <dgm:constr type="h" refType="userB" fact="0.01"/>
              <dgm:constr type="lMarg" val="1"/>
              <dgm:constr type="rMarg" val="1"/>
              <dgm:constr type="tMarg"/>
              <dgm:constr type="bMarg"/>
            </dgm:constrLst>
            <dgm:ruleLst>
              <dgm:rule type="w" val="NaN" fact="0.6" max="NaN"/>
              <dgm:rule type="h" val="NaN" fact="0.6" max="NaN"/>
              <dgm:rule type="primFontSz" val="5" fact="NaN" max="NaN"/>
            </dgm:ruleLst>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2" name="AutoShape 4">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1451664</xdr:colOff>
      <xdr:row>4</xdr:row>
      <xdr:rowOff>8163</xdr:rowOff>
    </xdr:to>
    <xdr:pic>
      <xdr:nvPicPr>
        <xdr:cNvPr id="5" name="logo-image" descr="Home">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156" y="236764"/>
          <a:ext cx="1423090" cy="9974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6</xdr:col>
      <xdr:colOff>0</xdr:colOff>
      <xdr:row>19</xdr:row>
      <xdr:rowOff>0</xdr:rowOff>
    </xdr:from>
    <xdr:ext cx="304800" cy="304800"/>
    <xdr:sp macro="" textlink="">
      <xdr:nvSpPr>
        <xdr:cNvPr id="2" name="AutoShape 1" descr="https://mail.ambiente.gob.ec/service/home/~/?auth=co&amp;loc=es&amp;id=9499&amp;part=3">
          <a:extLst>
            <a:ext uri="{FF2B5EF4-FFF2-40B4-BE49-F238E27FC236}">
              <a16:creationId xmlns:a16="http://schemas.microsoft.com/office/drawing/2014/main" id="{00000000-0008-0000-0C00-000002000000}"/>
            </a:ext>
          </a:extLst>
        </xdr:cNvPr>
        <xdr:cNvSpPr>
          <a:spLocks noChangeAspect="1" noChangeArrowheads="1"/>
        </xdr:cNvSpPr>
      </xdr:nvSpPr>
      <xdr:spPr bwMode="auto">
        <a:xfrm>
          <a:off x="4572000" y="361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323546</xdr:colOff>
      <xdr:row>17</xdr:row>
      <xdr:rowOff>204107</xdr:rowOff>
    </xdr:from>
    <xdr:ext cx="6696074" cy="1704896"/>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37379" y="10808607"/>
          <a:ext cx="6696074" cy="170489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198102</xdr:colOff>
      <xdr:row>0</xdr:row>
      <xdr:rowOff>0</xdr:rowOff>
    </xdr:from>
    <xdr:to>
      <xdr:col>13</xdr:col>
      <xdr:colOff>12174</xdr:colOff>
      <xdr:row>7</xdr:row>
      <xdr:rowOff>166116</xdr:rowOff>
    </xdr:to>
    <xdr:sp macro="" textlink="">
      <xdr:nvSpPr>
        <xdr:cNvPr id="2" name="Título 1">
          <a:extLst>
            <a:ext uri="{FF2B5EF4-FFF2-40B4-BE49-F238E27FC236}">
              <a16:creationId xmlns:a16="http://schemas.microsoft.com/office/drawing/2014/main" id="{00000000-0008-0000-1100-000002000000}"/>
            </a:ext>
          </a:extLst>
        </xdr:cNvPr>
        <xdr:cNvSpPr>
          <a:spLocks noGrp="1"/>
        </xdr:cNvSpPr>
      </xdr:nvSpPr>
      <xdr:spPr>
        <a:xfrm>
          <a:off x="198102" y="0"/>
          <a:ext cx="9720072" cy="1499616"/>
        </a:xfrm>
        <a:prstGeom prst="rect">
          <a:avLst/>
        </a:prstGeom>
      </xdr:spPr>
      <xdr:txBody>
        <a:bodyPr vert="horz" wrap="square" lIns="91440" tIns="45720" rIns="91440" bIns="45720" rtlCol="0" anchor="ctr">
          <a:normAutofit/>
        </a:bodyPr>
        <a:lstStyle>
          <a:lvl1pPr algn="l" defTabSz="914400" rtl="0" eaLnBrk="1" latinLnBrk="0" hangingPunct="1">
            <a:lnSpc>
              <a:spcPct val="80000"/>
            </a:lnSpc>
            <a:spcBef>
              <a:spcPct val="0"/>
            </a:spcBef>
            <a:buNone/>
            <a:defRPr sz="5000" kern="1200" cap="all" spc="100" baseline="0">
              <a:solidFill>
                <a:schemeClr val="tx1">
                  <a:lumMod val="95000"/>
                  <a:lumOff val="5000"/>
                </a:schemeClr>
              </a:solidFill>
              <a:latin typeface="+mj-lt"/>
              <a:ea typeface="+mj-ea"/>
              <a:cs typeface="+mj-cs"/>
            </a:defRPr>
          </a:lvl1pPr>
        </a:lstStyle>
        <a:p>
          <a:pPr algn="ctr"/>
          <a:r>
            <a:rPr lang="es-ES" sz="2800">
              <a:solidFill>
                <a:srgbClr val="002060"/>
              </a:solidFill>
              <a:latin typeface="Berlin Sans FB Demi" panose="020E0802020502020306" pitchFamily="34" charset="0"/>
            </a:rPr>
            <a:t>REPORTS for MONITORING PROCESSES of adaptation measures</a:t>
          </a:r>
          <a:endParaRPr lang="es-EC" sz="2800">
            <a:solidFill>
              <a:srgbClr val="002060"/>
            </a:solidFill>
            <a:latin typeface="Berlin Sans FB Demi" panose="020E0802020502020306" pitchFamily="34" charset="0"/>
          </a:endParaRPr>
        </a:p>
      </xdr:txBody>
    </xdr:sp>
    <xdr:clientData/>
  </xdr:twoCellAnchor>
  <xdr:twoCellAnchor>
    <xdr:from>
      <xdr:col>0</xdr:col>
      <xdr:colOff>0</xdr:colOff>
      <xdr:row>10</xdr:row>
      <xdr:rowOff>179832</xdr:rowOff>
    </xdr:from>
    <xdr:to>
      <xdr:col>12</xdr:col>
      <xdr:colOff>576262</xdr:colOff>
      <xdr:row>32</xdr:row>
      <xdr:rowOff>11557</xdr:rowOff>
    </xdr:to>
    <xdr:graphicFrame macro="">
      <xdr:nvGraphicFramePr>
        <xdr:cNvPr id="3" name="Marcador de contenido 3">
          <a:extLst>
            <a:ext uri="{FF2B5EF4-FFF2-40B4-BE49-F238E27FC236}">
              <a16:creationId xmlns:a16="http://schemas.microsoft.com/office/drawing/2014/main" id="{00000000-0008-0000-1100-000003000000}"/>
            </a:ext>
          </a:extLst>
        </xdr:cNvPr>
        <xdr:cNvGraphicFramePr>
          <a:graphicFrameLocks noGrp="1"/>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xdr:col>
      <xdr:colOff>185066</xdr:colOff>
      <xdr:row>8</xdr:row>
      <xdr:rowOff>22538</xdr:rowOff>
    </xdr:from>
    <xdr:to>
      <xdr:col>3</xdr:col>
      <xdr:colOff>451229</xdr:colOff>
      <xdr:row>10</xdr:row>
      <xdr:rowOff>92298</xdr:rowOff>
    </xdr:to>
    <xdr:sp macro="" textlink="">
      <xdr:nvSpPr>
        <xdr:cNvPr id="4" name="Rectángulo 3">
          <a:extLst>
            <a:ext uri="{FF2B5EF4-FFF2-40B4-BE49-F238E27FC236}">
              <a16:creationId xmlns:a16="http://schemas.microsoft.com/office/drawing/2014/main" id="{00000000-0008-0000-1100-000004000000}"/>
            </a:ext>
          </a:extLst>
        </xdr:cNvPr>
        <xdr:cNvSpPr/>
      </xdr:nvSpPr>
      <xdr:spPr>
        <a:xfrm>
          <a:off x="947066" y="1546538"/>
          <a:ext cx="1790163" cy="450760"/>
        </a:xfrm>
        <a:prstGeom prst="rect">
          <a:avLst/>
        </a:prstGeom>
      </xdr:spPr>
      <xdr:style>
        <a:lnRef idx="3">
          <a:schemeClr val="lt1"/>
        </a:lnRef>
        <a:fillRef idx="1">
          <a:schemeClr val="accent4"/>
        </a:fillRef>
        <a:effectRef idx="1">
          <a:schemeClr val="accent4"/>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s-ES" sz="1600"/>
            <a:t>FORECCSA Technical A-L-O</a:t>
          </a:r>
          <a:endParaRPr lang="es-EC" sz="1600"/>
        </a:p>
      </xdr:txBody>
    </xdr:sp>
    <xdr:clientData/>
  </xdr:twoCellAnchor>
  <xdr:twoCellAnchor>
    <xdr:from>
      <xdr:col>5</xdr:col>
      <xdr:colOff>81554</xdr:colOff>
      <xdr:row>7</xdr:row>
      <xdr:rowOff>0</xdr:rowOff>
    </xdr:from>
    <xdr:to>
      <xdr:col>8</xdr:col>
      <xdr:colOff>309561</xdr:colOff>
      <xdr:row>9</xdr:row>
      <xdr:rowOff>4057</xdr:rowOff>
    </xdr:to>
    <xdr:sp macro="" textlink="">
      <xdr:nvSpPr>
        <xdr:cNvPr id="5" name="Rectángulo 4">
          <a:extLst>
            <a:ext uri="{FF2B5EF4-FFF2-40B4-BE49-F238E27FC236}">
              <a16:creationId xmlns:a16="http://schemas.microsoft.com/office/drawing/2014/main" id="{00000000-0008-0000-1100-000005000000}"/>
            </a:ext>
          </a:extLst>
        </xdr:cNvPr>
        <xdr:cNvSpPr/>
      </xdr:nvSpPr>
      <xdr:spPr>
        <a:xfrm>
          <a:off x="3891554" y="1333500"/>
          <a:ext cx="2514007" cy="385057"/>
        </a:xfrm>
        <a:prstGeom prst="rect">
          <a:avLst/>
        </a:prstGeom>
      </xdr:spPr>
      <xdr:style>
        <a:lnRef idx="3">
          <a:schemeClr val="lt1"/>
        </a:lnRef>
        <a:fillRef idx="1">
          <a:schemeClr val="accent4"/>
        </a:fillRef>
        <a:effectRef idx="1">
          <a:schemeClr val="accent4"/>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s-ES" sz="1600"/>
            <a:t>FORECCSA </a:t>
          </a:r>
          <a:r>
            <a:rPr lang="es-ES" sz="1800" kern="1200">
              <a:solidFill>
                <a:schemeClr val="lt1"/>
              </a:solidFill>
              <a:effectLst/>
              <a:latin typeface="+mn-lt"/>
              <a:ea typeface="+mn-ea"/>
              <a:cs typeface="+mn-cs"/>
            </a:rPr>
            <a:t>Technical</a:t>
          </a:r>
          <a:r>
            <a:rPr lang="es-ES" sz="1600"/>
            <a:t> A-L-O</a:t>
          </a:r>
          <a:endParaRPr lang="es-EC" sz="1600"/>
        </a:p>
      </xdr:txBody>
    </xdr:sp>
    <xdr:clientData/>
  </xdr:twoCellAnchor>
  <xdr:twoCellAnchor>
    <xdr:from>
      <xdr:col>6</xdr:col>
      <xdr:colOff>598800</xdr:colOff>
      <xdr:row>9</xdr:row>
      <xdr:rowOff>24147</xdr:rowOff>
    </xdr:from>
    <xdr:to>
      <xdr:col>8</xdr:col>
      <xdr:colOff>128720</xdr:colOff>
      <xdr:row>10</xdr:row>
      <xdr:rowOff>168498</xdr:rowOff>
    </xdr:to>
    <xdr:sp macro="" textlink="">
      <xdr:nvSpPr>
        <xdr:cNvPr id="6" name="Rectángulo 5">
          <a:extLst>
            <a:ext uri="{FF2B5EF4-FFF2-40B4-BE49-F238E27FC236}">
              <a16:creationId xmlns:a16="http://schemas.microsoft.com/office/drawing/2014/main" id="{00000000-0008-0000-1100-000006000000}"/>
            </a:ext>
          </a:extLst>
        </xdr:cNvPr>
        <xdr:cNvSpPr/>
      </xdr:nvSpPr>
      <xdr:spPr>
        <a:xfrm>
          <a:off x="5170800" y="1738647"/>
          <a:ext cx="1053920" cy="334851"/>
        </a:xfrm>
        <a:prstGeom prst="rect">
          <a:avLst/>
        </a:prstGeom>
      </xdr:spPr>
      <xdr:style>
        <a:lnRef idx="3">
          <a:schemeClr val="lt1"/>
        </a:lnRef>
        <a:fillRef idx="1">
          <a:schemeClr val="accent4"/>
        </a:fillRef>
        <a:effectRef idx="1">
          <a:schemeClr val="accent4"/>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s-ES" sz="1600"/>
            <a:t>Promoter</a:t>
          </a:r>
          <a:endParaRPr lang="es-EC" sz="1600"/>
        </a:p>
      </xdr:txBody>
    </xdr:sp>
    <xdr:clientData/>
  </xdr:twoCellAnchor>
  <xdr:twoCellAnchor>
    <xdr:from>
      <xdr:col>9</xdr:col>
      <xdr:colOff>482946</xdr:colOff>
      <xdr:row>7</xdr:row>
      <xdr:rowOff>166688</xdr:rowOff>
    </xdr:from>
    <xdr:to>
      <xdr:col>13</xdr:col>
      <xdr:colOff>107155</xdr:colOff>
      <xdr:row>10</xdr:row>
      <xdr:rowOff>110544</xdr:rowOff>
    </xdr:to>
    <xdr:sp macro="" textlink="">
      <xdr:nvSpPr>
        <xdr:cNvPr id="7" name="Rectángulo 6">
          <a:extLst>
            <a:ext uri="{FF2B5EF4-FFF2-40B4-BE49-F238E27FC236}">
              <a16:creationId xmlns:a16="http://schemas.microsoft.com/office/drawing/2014/main" id="{00000000-0008-0000-1100-000007000000}"/>
            </a:ext>
          </a:extLst>
        </xdr:cNvPr>
        <xdr:cNvSpPr/>
      </xdr:nvSpPr>
      <xdr:spPr>
        <a:xfrm>
          <a:off x="7340946" y="1500188"/>
          <a:ext cx="2672209" cy="515356"/>
        </a:xfrm>
        <a:prstGeom prst="rect">
          <a:avLst/>
        </a:prstGeom>
      </xdr:spPr>
      <xdr:style>
        <a:lnRef idx="3">
          <a:schemeClr val="lt1"/>
        </a:lnRef>
        <a:fillRef idx="1">
          <a:schemeClr val="accent4"/>
        </a:fillRef>
        <a:effectRef idx="1">
          <a:schemeClr val="accent4"/>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s-ES" sz="1600"/>
            <a:t>Monitorin</a:t>
          </a:r>
          <a:r>
            <a:rPr lang="es-ES" sz="1600" baseline="0"/>
            <a:t>g Specislist</a:t>
          </a:r>
          <a:r>
            <a:rPr lang="es-ES" sz="1600"/>
            <a:t>onitoreo </a:t>
          </a:r>
          <a:endParaRPr lang="es-EC" sz="1600"/>
        </a:p>
      </xdr:txBody>
    </xdr:sp>
    <xdr:clientData/>
  </xdr:twoCellAnchor>
  <xdr:twoCellAnchor>
    <xdr:from>
      <xdr:col>0</xdr:col>
      <xdr:colOff>154781</xdr:colOff>
      <xdr:row>32</xdr:row>
      <xdr:rowOff>84295</xdr:rowOff>
    </xdr:from>
    <xdr:to>
      <xdr:col>3</xdr:col>
      <xdr:colOff>489329</xdr:colOff>
      <xdr:row>34</xdr:row>
      <xdr:rowOff>142875</xdr:rowOff>
    </xdr:to>
    <xdr:sp macro="" textlink="">
      <xdr:nvSpPr>
        <xdr:cNvPr id="8" name="Rectángulo 7">
          <a:extLst>
            <a:ext uri="{FF2B5EF4-FFF2-40B4-BE49-F238E27FC236}">
              <a16:creationId xmlns:a16="http://schemas.microsoft.com/office/drawing/2014/main" id="{00000000-0008-0000-1100-000008000000}"/>
            </a:ext>
          </a:extLst>
        </xdr:cNvPr>
        <xdr:cNvSpPr/>
      </xdr:nvSpPr>
      <xdr:spPr>
        <a:xfrm>
          <a:off x="154781" y="6180295"/>
          <a:ext cx="2620548" cy="439580"/>
        </a:xfrm>
        <a:prstGeom prst="rect">
          <a:avLst/>
        </a:prstGeom>
      </xdr:spPr>
      <xdr:style>
        <a:lnRef idx="3">
          <a:schemeClr val="lt1"/>
        </a:lnRef>
        <a:fillRef idx="1">
          <a:schemeClr val="accent4"/>
        </a:fillRef>
        <a:effectRef idx="1">
          <a:schemeClr val="accent4"/>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s-ES" sz="1600"/>
            <a:t>FORECCSA Technical A-L-O</a:t>
          </a:r>
          <a:endParaRPr lang="es-EC" sz="1600"/>
        </a:p>
      </xdr:txBody>
    </xdr:sp>
    <xdr:clientData/>
  </xdr:twoCellAnchor>
  <xdr:twoCellAnchor>
    <xdr:from>
      <xdr:col>5</xdr:col>
      <xdr:colOff>81555</xdr:colOff>
      <xdr:row>32</xdr:row>
      <xdr:rowOff>84294</xdr:rowOff>
    </xdr:from>
    <xdr:to>
      <xdr:col>8</xdr:col>
      <xdr:colOff>128721</xdr:colOff>
      <xdr:row>34</xdr:row>
      <xdr:rowOff>38145</xdr:rowOff>
    </xdr:to>
    <xdr:sp macro="" textlink="">
      <xdr:nvSpPr>
        <xdr:cNvPr id="9" name="Rectángulo 8">
          <a:extLst>
            <a:ext uri="{FF2B5EF4-FFF2-40B4-BE49-F238E27FC236}">
              <a16:creationId xmlns:a16="http://schemas.microsoft.com/office/drawing/2014/main" id="{00000000-0008-0000-1100-000009000000}"/>
            </a:ext>
          </a:extLst>
        </xdr:cNvPr>
        <xdr:cNvSpPr/>
      </xdr:nvSpPr>
      <xdr:spPr>
        <a:xfrm>
          <a:off x="3891555" y="6180294"/>
          <a:ext cx="2333166" cy="334851"/>
        </a:xfrm>
        <a:prstGeom prst="rect">
          <a:avLst/>
        </a:prstGeom>
      </xdr:spPr>
      <xdr:style>
        <a:lnRef idx="3">
          <a:schemeClr val="lt1"/>
        </a:lnRef>
        <a:fillRef idx="1">
          <a:schemeClr val="accent4"/>
        </a:fillRef>
        <a:effectRef idx="1">
          <a:schemeClr val="accent4"/>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s-ES" sz="1600"/>
            <a:t>Monitoring</a:t>
          </a:r>
          <a:r>
            <a:rPr lang="es-ES" sz="1600" baseline="0"/>
            <a:t> Specialist</a:t>
          </a:r>
          <a:endParaRPr lang="es-EC" sz="1600"/>
        </a:p>
      </xdr:txBody>
    </xdr:sp>
    <xdr:clientData/>
  </xdr:twoCellAnchor>
  <xdr:twoCellAnchor>
    <xdr:from>
      <xdr:col>6</xdr:col>
      <xdr:colOff>238125</xdr:colOff>
      <xdr:row>34</xdr:row>
      <xdr:rowOff>58055</xdr:rowOff>
    </xdr:from>
    <xdr:to>
      <xdr:col>8</xdr:col>
      <xdr:colOff>65762</xdr:colOff>
      <xdr:row>36</xdr:row>
      <xdr:rowOff>142875</xdr:rowOff>
    </xdr:to>
    <xdr:sp macro="" textlink="">
      <xdr:nvSpPr>
        <xdr:cNvPr id="10" name="Rectángulo 9">
          <a:extLst>
            <a:ext uri="{FF2B5EF4-FFF2-40B4-BE49-F238E27FC236}">
              <a16:creationId xmlns:a16="http://schemas.microsoft.com/office/drawing/2014/main" id="{00000000-0008-0000-1100-00000A000000}"/>
            </a:ext>
          </a:extLst>
        </xdr:cNvPr>
        <xdr:cNvSpPr/>
      </xdr:nvSpPr>
      <xdr:spPr>
        <a:xfrm>
          <a:off x="4810125" y="6535055"/>
          <a:ext cx="1351637" cy="465820"/>
        </a:xfrm>
        <a:prstGeom prst="rect">
          <a:avLst/>
        </a:prstGeom>
      </xdr:spPr>
      <xdr:style>
        <a:lnRef idx="3">
          <a:schemeClr val="lt1"/>
        </a:lnRef>
        <a:fillRef idx="1">
          <a:schemeClr val="accent4"/>
        </a:fillRef>
        <a:effectRef idx="1">
          <a:schemeClr val="accent4"/>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s-ES" sz="1600"/>
            <a:t>Management</a:t>
          </a:r>
          <a:endParaRPr lang="es-EC" sz="1600"/>
        </a:p>
      </xdr:txBody>
    </xdr:sp>
    <xdr:clientData/>
  </xdr:twoCellAnchor>
  <xdr:twoCellAnchor>
    <xdr:from>
      <xdr:col>5</xdr:col>
      <xdr:colOff>719229</xdr:colOff>
      <xdr:row>21</xdr:row>
      <xdr:rowOff>64197</xdr:rowOff>
    </xdr:from>
    <xdr:to>
      <xdr:col>8</xdr:col>
      <xdr:colOff>84110</xdr:colOff>
      <xdr:row>23</xdr:row>
      <xdr:rowOff>18048</xdr:rowOff>
    </xdr:to>
    <xdr:sp macro="" textlink="">
      <xdr:nvSpPr>
        <xdr:cNvPr id="11" name="Rectángulo 10">
          <a:extLst>
            <a:ext uri="{FF2B5EF4-FFF2-40B4-BE49-F238E27FC236}">
              <a16:creationId xmlns:a16="http://schemas.microsoft.com/office/drawing/2014/main" id="{00000000-0008-0000-1100-00000B000000}"/>
            </a:ext>
          </a:extLst>
        </xdr:cNvPr>
        <xdr:cNvSpPr/>
      </xdr:nvSpPr>
      <xdr:spPr>
        <a:xfrm>
          <a:off x="4529229" y="4064697"/>
          <a:ext cx="1650881" cy="334851"/>
        </a:xfrm>
        <a:prstGeom prst="rect">
          <a:avLst/>
        </a:prstGeom>
      </xdr:spPr>
      <xdr:style>
        <a:lnRef idx="3">
          <a:schemeClr val="lt1"/>
        </a:lnRef>
        <a:fillRef idx="1">
          <a:schemeClr val="accent4"/>
        </a:fillRef>
        <a:effectRef idx="1">
          <a:schemeClr val="accent4"/>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s-ES" sz="1600"/>
            <a:t>Coordinators</a:t>
          </a:r>
          <a:endParaRPr lang="es-EC" sz="1600"/>
        </a:p>
      </xdr:txBody>
    </xdr:sp>
    <xdr:clientData/>
  </xdr:twoCellAnchor>
  <xdr:twoCellAnchor>
    <xdr:from>
      <xdr:col>13</xdr:col>
      <xdr:colOff>257958</xdr:colOff>
      <xdr:row>18</xdr:row>
      <xdr:rowOff>105770</xdr:rowOff>
    </xdr:from>
    <xdr:to>
      <xdr:col>14</xdr:col>
      <xdr:colOff>533188</xdr:colOff>
      <xdr:row>21</xdr:row>
      <xdr:rowOff>105140</xdr:rowOff>
    </xdr:to>
    <xdr:sp macro="" textlink="">
      <xdr:nvSpPr>
        <xdr:cNvPr id="12" name="Rectángulo 11">
          <a:extLst>
            <a:ext uri="{FF2B5EF4-FFF2-40B4-BE49-F238E27FC236}">
              <a16:creationId xmlns:a16="http://schemas.microsoft.com/office/drawing/2014/main" id="{00000000-0008-0000-1100-00000C000000}"/>
            </a:ext>
          </a:extLst>
        </xdr:cNvPr>
        <xdr:cNvSpPr/>
      </xdr:nvSpPr>
      <xdr:spPr>
        <a:xfrm>
          <a:off x="10163958" y="3534770"/>
          <a:ext cx="1037230" cy="570870"/>
        </a:xfrm>
        <a:prstGeom prst="rect">
          <a:avLst/>
        </a:prstGeom>
        <a:solidFill>
          <a:schemeClr val="accent2">
            <a:lumMod val="60000"/>
            <a:lumOff val="40000"/>
          </a:schemeClr>
        </a:solidFill>
      </xdr:spPr>
      <xdr:style>
        <a:lnRef idx="3">
          <a:schemeClr val="lt1"/>
        </a:lnRef>
        <a:fillRef idx="1">
          <a:schemeClr val="accent4"/>
        </a:fillRef>
        <a:effectRef idx="1">
          <a:schemeClr val="accent4"/>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s-ES" sz="1600"/>
            <a:t>PPR </a:t>
          </a:r>
        </a:p>
        <a:p>
          <a:pPr algn="ctr"/>
          <a:r>
            <a:rPr lang="es-ES" sz="1600"/>
            <a:t>2017</a:t>
          </a:r>
          <a:endParaRPr lang="es-EC" sz="1600"/>
        </a:p>
      </xdr:txBody>
    </xdr:sp>
    <xdr:clientData/>
  </xdr:twoCellAnchor>
  <xdr:twoCellAnchor>
    <xdr:from>
      <xdr:col>1</xdr:col>
      <xdr:colOff>223166</xdr:colOff>
      <xdr:row>17</xdr:row>
      <xdr:rowOff>187087</xdr:rowOff>
    </xdr:from>
    <xdr:to>
      <xdr:col>13</xdr:col>
      <xdr:colOff>257958</xdr:colOff>
      <xdr:row>19</xdr:row>
      <xdr:rowOff>176789</xdr:rowOff>
    </xdr:to>
    <xdr:sp macro="" textlink="">
      <xdr:nvSpPr>
        <xdr:cNvPr id="13" name="Flecha derecha 12">
          <a:extLst>
            <a:ext uri="{FF2B5EF4-FFF2-40B4-BE49-F238E27FC236}">
              <a16:creationId xmlns:a16="http://schemas.microsoft.com/office/drawing/2014/main" id="{00000000-0008-0000-1100-00000D000000}"/>
            </a:ext>
          </a:extLst>
        </xdr:cNvPr>
        <xdr:cNvSpPr/>
      </xdr:nvSpPr>
      <xdr:spPr>
        <a:xfrm>
          <a:off x="985166" y="3425587"/>
          <a:ext cx="9178792" cy="370702"/>
        </a:xfrm>
        <a:prstGeom prst="rightArrow">
          <a:avLst/>
        </a:prstGeom>
        <a:solidFill>
          <a:schemeClr val="bg2">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s-EC"/>
        </a:p>
      </xdr:txBody>
    </xdr:sp>
    <xdr:clientData/>
  </xdr:twoCellAnchor>
  <xdr:twoCellAnchor>
    <xdr:from>
      <xdr:col>11</xdr:col>
      <xdr:colOff>516797</xdr:colOff>
      <xdr:row>23</xdr:row>
      <xdr:rowOff>101284</xdr:rowOff>
    </xdr:from>
    <xdr:to>
      <xdr:col>14</xdr:col>
      <xdr:colOff>563963</xdr:colOff>
      <xdr:row>25</xdr:row>
      <xdr:rowOff>55135</xdr:rowOff>
    </xdr:to>
    <xdr:sp macro="" textlink="">
      <xdr:nvSpPr>
        <xdr:cNvPr id="14" name="Rectángulo 13">
          <a:extLst>
            <a:ext uri="{FF2B5EF4-FFF2-40B4-BE49-F238E27FC236}">
              <a16:creationId xmlns:a16="http://schemas.microsoft.com/office/drawing/2014/main" id="{00000000-0008-0000-1100-00000E000000}"/>
            </a:ext>
          </a:extLst>
        </xdr:cNvPr>
        <xdr:cNvSpPr/>
      </xdr:nvSpPr>
      <xdr:spPr>
        <a:xfrm>
          <a:off x="8898797" y="4482784"/>
          <a:ext cx="2333166" cy="334851"/>
        </a:xfrm>
        <a:prstGeom prst="rect">
          <a:avLst/>
        </a:prstGeom>
      </xdr:spPr>
      <xdr:style>
        <a:lnRef idx="3">
          <a:schemeClr val="lt1"/>
        </a:lnRef>
        <a:fillRef idx="1">
          <a:schemeClr val="accent4"/>
        </a:fillRef>
        <a:effectRef idx="1">
          <a:schemeClr val="accent4"/>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s-ES" sz="1600"/>
            <a:t>Monitoring</a:t>
          </a:r>
          <a:r>
            <a:rPr lang="es-ES" sz="1600" baseline="0"/>
            <a:t> Specialist</a:t>
          </a:r>
          <a:endParaRPr lang="es-EC" sz="1600"/>
        </a:p>
      </xdr:txBody>
    </xdr:sp>
    <xdr:clientData/>
  </xdr:twoCellAnchor>
  <xdr:twoCellAnchor>
    <xdr:from>
      <xdr:col>13</xdr:col>
      <xdr:colOff>35719</xdr:colOff>
      <xdr:row>25</xdr:row>
      <xdr:rowOff>108982</xdr:rowOff>
    </xdr:from>
    <xdr:to>
      <xdr:col>14</xdr:col>
      <xdr:colOff>714374</xdr:colOff>
      <xdr:row>27</xdr:row>
      <xdr:rowOff>130969</xdr:rowOff>
    </xdr:to>
    <xdr:sp macro="" textlink="">
      <xdr:nvSpPr>
        <xdr:cNvPr id="15" name="Rectángulo 14">
          <a:extLst>
            <a:ext uri="{FF2B5EF4-FFF2-40B4-BE49-F238E27FC236}">
              <a16:creationId xmlns:a16="http://schemas.microsoft.com/office/drawing/2014/main" id="{00000000-0008-0000-1100-00000F000000}"/>
            </a:ext>
          </a:extLst>
        </xdr:cNvPr>
        <xdr:cNvSpPr/>
      </xdr:nvSpPr>
      <xdr:spPr>
        <a:xfrm>
          <a:off x="9941719" y="4871482"/>
          <a:ext cx="1440655" cy="402987"/>
        </a:xfrm>
        <a:prstGeom prst="rect">
          <a:avLst/>
        </a:prstGeom>
      </xdr:spPr>
      <xdr:style>
        <a:lnRef idx="3">
          <a:schemeClr val="lt1"/>
        </a:lnRef>
        <a:fillRef idx="1">
          <a:schemeClr val="accent4"/>
        </a:fillRef>
        <a:effectRef idx="1">
          <a:schemeClr val="accent4"/>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s-ES" sz="1600"/>
            <a:t>Management</a:t>
          </a:r>
          <a:endParaRPr lang="es-EC" sz="1600"/>
        </a:p>
      </xdr:txBody>
    </xdr:sp>
    <xdr:clientData/>
  </xdr:twoCellAnchor>
  <xdr:twoCellAnchor>
    <xdr:from>
      <xdr:col>12</xdr:col>
      <xdr:colOff>406307</xdr:colOff>
      <xdr:row>21</xdr:row>
      <xdr:rowOff>120509</xdr:rowOff>
    </xdr:from>
    <xdr:to>
      <xdr:col>14</xdr:col>
      <xdr:colOff>533188</xdr:colOff>
      <xdr:row>23</xdr:row>
      <xdr:rowOff>74360</xdr:rowOff>
    </xdr:to>
    <xdr:sp macro="" textlink="">
      <xdr:nvSpPr>
        <xdr:cNvPr id="16" name="Rectángulo 15">
          <a:extLst>
            <a:ext uri="{FF2B5EF4-FFF2-40B4-BE49-F238E27FC236}">
              <a16:creationId xmlns:a16="http://schemas.microsoft.com/office/drawing/2014/main" id="{00000000-0008-0000-1100-000010000000}"/>
            </a:ext>
          </a:extLst>
        </xdr:cNvPr>
        <xdr:cNvSpPr/>
      </xdr:nvSpPr>
      <xdr:spPr>
        <a:xfrm>
          <a:off x="9550307" y="4121009"/>
          <a:ext cx="1650881" cy="334851"/>
        </a:xfrm>
        <a:prstGeom prst="rect">
          <a:avLst/>
        </a:prstGeom>
      </xdr:spPr>
      <xdr:style>
        <a:lnRef idx="3">
          <a:schemeClr val="lt1"/>
        </a:lnRef>
        <a:fillRef idx="1">
          <a:schemeClr val="accent4"/>
        </a:fillRef>
        <a:effectRef idx="1">
          <a:schemeClr val="accent4"/>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s-ES" sz="1600"/>
            <a:t>Coordinator</a:t>
          </a:r>
          <a:endParaRPr lang="es-EC" sz="16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arlos.montenegro\Desktop\Informe%20al%20donante\Contraparte\Aportes%20comprometidos%20por%20GAD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arlos.montenegro\Desktop\Informe%20al%20donante\TABS\Procuremen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arlos.montenegro\Downloads\result%20track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ulio.rojas\Downloads\PPR%202015%20Ecuador%20v4%20(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tatiana.paredes\Sistema%20MyE%20Taty\SM&amp;E_Ajustado_2016\Matriz_Segui_PLAO\2017_SME_PLAO\Octubre_2017\Donante\Seguimiento_PLAO_OCTUBRE_PPR_Anexo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efreshError="1"/>
      <sheetData sheetId="1" refreshError="1"/>
      <sheetData sheetId="2" refreshError="1"/>
      <sheetData sheetId="3" refreshError="1">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row r="2">
          <cell r="K2">
            <v>0</v>
          </cell>
          <cell r="L2">
            <v>0</v>
          </cell>
          <cell r="M2">
            <v>0</v>
          </cell>
          <cell r="N2">
            <v>0</v>
          </cell>
          <cell r="O2">
            <v>0</v>
          </cell>
          <cell r="P2">
            <v>0</v>
          </cell>
          <cell r="Q2">
            <v>0</v>
          </cell>
        </row>
        <row r="3">
          <cell r="K3">
            <v>0</v>
          </cell>
          <cell r="L3" t="str">
            <v>Financial information:  cumulative from project start to December 2015</v>
          </cell>
          <cell r="M3">
            <v>0</v>
          </cell>
          <cell r="N3">
            <v>0</v>
          </cell>
          <cell r="O3">
            <v>0</v>
          </cell>
          <cell r="P3">
            <v>0</v>
          </cell>
          <cell r="Q3">
            <v>0</v>
          </cell>
        </row>
        <row r="4">
          <cell r="K4">
            <v>0</v>
          </cell>
          <cell r="L4">
            <v>0</v>
          </cell>
          <cell r="M4">
            <v>0</v>
          </cell>
          <cell r="N4">
            <v>0</v>
          </cell>
          <cell r="O4">
            <v>0</v>
          </cell>
          <cell r="P4">
            <v>0</v>
          </cell>
          <cell r="Q4">
            <v>0</v>
          </cell>
        </row>
        <row r="5">
          <cell r="K5">
            <v>0</v>
          </cell>
          <cell r="L5">
            <v>0</v>
          </cell>
          <cell r="M5">
            <v>0</v>
          </cell>
          <cell r="N5">
            <v>0</v>
          </cell>
          <cell r="O5">
            <v>0</v>
          </cell>
          <cell r="P5">
            <v>0</v>
          </cell>
          <cell r="Q5">
            <v>0</v>
          </cell>
        </row>
        <row r="6">
          <cell r="K6">
            <v>0</v>
          </cell>
          <cell r="L6">
            <v>0</v>
          </cell>
          <cell r="M6">
            <v>0</v>
          </cell>
          <cell r="N6">
            <v>0</v>
          </cell>
          <cell r="O6">
            <v>0</v>
          </cell>
          <cell r="P6">
            <v>0</v>
          </cell>
          <cell r="Q6">
            <v>0</v>
          </cell>
        </row>
        <row r="7">
          <cell r="K7">
            <v>0</v>
          </cell>
          <cell r="L7" t="str">
            <v xml:space="preserve">DISBURSEMENT OF AF GRANT FUNDS </v>
          </cell>
          <cell r="M7">
            <v>0</v>
          </cell>
          <cell r="N7">
            <v>6309767</v>
          </cell>
          <cell r="O7">
            <v>0</v>
          </cell>
          <cell r="P7">
            <v>0</v>
          </cell>
          <cell r="Q7">
            <v>0</v>
          </cell>
        </row>
        <row r="8">
          <cell r="K8">
            <v>0</v>
          </cell>
          <cell r="L8" t="str">
            <v>How much of the total AF grant as noted in Project Document plus any project preparation grant has been spent to date?</v>
          </cell>
          <cell r="M8">
            <v>0</v>
          </cell>
          <cell r="N8">
            <v>0</v>
          </cell>
          <cell r="O8">
            <v>0</v>
          </cell>
          <cell r="P8">
            <v>0</v>
          </cell>
          <cell r="Q8">
            <v>0</v>
          </cell>
        </row>
        <row r="9">
          <cell r="K9">
            <v>0</v>
          </cell>
          <cell r="L9" t="str">
            <v>Estimated cumulative total disbursement as of December 2015</v>
          </cell>
          <cell r="M9">
            <v>0</v>
          </cell>
          <cell r="N9">
            <v>2270953.1269999999</v>
          </cell>
          <cell r="O9">
            <v>0</v>
          </cell>
          <cell r="P9">
            <v>0</v>
          </cell>
          <cell r="Q9">
            <v>0</v>
          </cell>
        </row>
        <row r="10">
          <cell r="K10">
            <v>0</v>
          </cell>
          <cell r="L10" t="str">
            <v>Add any comments on AF Grant Funds. (word limit=200)</v>
          </cell>
          <cell r="M10">
            <v>0</v>
          </cell>
          <cell r="N10" t="str">
            <v xml:space="preserve">Under a harmonized approach to cash transfers (HACT), this amount includes only expenses made by: a) WFP on behalf of MAE - executing agency, b) MAE as national executing agency; c) CCRJ as local executing partner; and d) GAD PP as local executing partner.
The amount of $ 2.270.953 is an accumulative expense amount up to December 31st, 2015 and represents 52% of actual disbursement of AF. The amount for 2015 (January to December) is US$ 853.840,13
 </v>
          </cell>
          <cell r="O10">
            <v>0</v>
          </cell>
          <cell r="P10">
            <v>0</v>
          </cell>
          <cell r="Q10">
            <v>0</v>
          </cell>
        </row>
        <row r="11">
          <cell r="K11">
            <v>0</v>
          </cell>
          <cell r="L11">
            <v>0</v>
          </cell>
          <cell r="M11">
            <v>0</v>
          </cell>
          <cell r="N11">
            <v>0</v>
          </cell>
          <cell r="O11">
            <v>0</v>
          </cell>
          <cell r="P11">
            <v>0</v>
          </cell>
          <cell r="Q11">
            <v>0</v>
          </cell>
        </row>
        <row r="12">
          <cell r="K12">
            <v>0</v>
          </cell>
          <cell r="L12" t="str">
            <v xml:space="preserve">INVESTMENT INCOME </v>
          </cell>
          <cell r="M12">
            <v>0</v>
          </cell>
          <cell r="N12">
            <v>0</v>
          </cell>
          <cell r="O12">
            <v>0</v>
          </cell>
          <cell r="P12">
            <v>0</v>
          </cell>
          <cell r="Q12">
            <v>0</v>
          </cell>
        </row>
        <row r="13">
          <cell r="K13">
            <v>0</v>
          </cell>
          <cell r="L13" t="str">
            <v>Amount of annual investment income generated from the Adaptation Fund’s grant</v>
          </cell>
          <cell r="M13">
            <v>0</v>
          </cell>
          <cell r="N13">
            <v>0</v>
          </cell>
          <cell r="O13">
            <v>0</v>
          </cell>
          <cell r="P13">
            <v>0</v>
          </cell>
          <cell r="Q13">
            <v>0</v>
          </cell>
        </row>
        <row r="14">
          <cell r="K14">
            <v>0</v>
          </cell>
          <cell r="L14">
            <v>0</v>
          </cell>
          <cell r="M14">
            <v>0</v>
          </cell>
          <cell r="N14">
            <v>0</v>
          </cell>
          <cell r="O14">
            <v>0</v>
          </cell>
          <cell r="P14">
            <v>0</v>
          </cell>
          <cell r="Q14">
            <v>0</v>
          </cell>
        </row>
        <row r="15">
          <cell r="K15">
            <v>0</v>
          </cell>
          <cell r="L15" t="str">
            <v>EXPENDITURE DATA</v>
          </cell>
          <cell r="M15">
            <v>0</v>
          </cell>
          <cell r="N15">
            <v>0</v>
          </cell>
          <cell r="O15">
            <v>0</v>
          </cell>
          <cell r="P15">
            <v>0</v>
          </cell>
          <cell r="Q15">
            <v>0</v>
          </cell>
        </row>
        <row r="16">
          <cell r="K16">
            <v>0</v>
          </cell>
          <cell r="L16" t="str">
            <v>List output and corresponding amount spent for the current reporting period</v>
          </cell>
          <cell r="M16">
            <v>0</v>
          </cell>
          <cell r="N16" t="str">
            <v>ITEM / ACTIVITY / ACTION</v>
          </cell>
          <cell r="O16" t="str">
            <v>AMOUNT</v>
          </cell>
          <cell r="P16">
            <v>0</v>
          </cell>
          <cell r="Q16">
            <v>0</v>
          </cell>
        </row>
        <row r="17">
          <cell r="K17">
            <v>0</v>
          </cell>
          <cell r="L17">
            <v>0</v>
          </cell>
          <cell r="M17">
            <v>0</v>
          </cell>
          <cell r="N17" t="str">
            <v>1.1.1. Parishes in targeted cantons trained in climate change threats and adaptation measures which reduce vulnerability, in particular related to food security</v>
          </cell>
          <cell r="O17">
            <v>1696.28</v>
          </cell>
          <cell r="P17">
            <v>0</v>
          </cell>
          <cell r="Q17">
            <v>0</v>
          </cell>
        </row>
        <row r="18">
          <cell r="K18">
            <v>0</v>
          </cell>
          <cell r="L18">
            <v>0</v>
          </cell>
          <cell r="M18">
            <v>0</v>
          </cell>
          <cell r="N18" t="str">
            <v>1.1.2. Targeted parishes participate in adaptation and risk reduction awareness activities</v>
          </cell>
          <cell r="O18">
            <v>2544.42</v>
          </cell>
          <cell r="P18">
            <v>0</v>
          </cell>
          <cell r="Q18">
            <v>0</v>
          </cell>
        </row>
        <row r="19">
          <cell r="K19">
            <v>0</v>
          </cell>
          <cell r="L19">
            <v>0</v>
          </cell>
          <cell r="M19">
            <v>0</v>
          </cell>
          <cell r="N19" t="str">
            <v>1.1.3. Food security and gender considerations integrated in all adaptation training programs</v>
          </cell>
          <cell r="O19">
            <v>7915.96</v>
          </cell>
          <cell r="P19">
            <v>0</v>
          </cell>
          <cell r="Q19">
            <v>0</v>
          </cell>
        </row>
        <row r="20">
          <cell r="K20">
            <v>0</v>
          </cell>
          <cell r="L20">
            <v>0</v>
          </cell>
          <cell r="M20">
            <v>0</v>
          </cell>
          <cell r="N20" t="str">
            <v>1.2.1.  Local adaptation plans developed to reduce vulnerabilities to climate change induced food insecurity in targeted areas</v>
          </cell>
          <cell r="O20">
            <v>2261.6999999999998</v>
          </cell>
          <cell r="P20">
            <v>0</v>
          </cell>
          <cell r="Q20">
            <v>0</v>
          </cell>
        </row>
        <row r="21">
          <cell r="K21">
            <v>0</v>
          </cell>
          <cell r="L21">
            <v>0</v>
          </cell>
          <cell r="M21">
            <v>0</v>
          </cell>
          <cell r="N21" t="str">
            <v>1.2.2. Community participation in processes to develop adaptation plans in targeted parishes</v>
          </cell>
          <cell r="O21">
            <v>8198.6769999999997</v>
          </cell>
          <cell r="P21">
            <v>0</v>
          </cell>
          <cell r="Q21">
            <v>0</v>
          </cell>
        </row>
        <row r="22">
          <cell r="K22">
            <v>0</v>
          </cell>
          <cell r="L22">
            <v>0</v>
          </cell>
          <cell r="M22">
            <v>0</v>
          </cell>
          <cell r="N22" t="str">
            <v>1.2.3. Agreements developed and signed among targeted parishes, GADPP or CCRJ, MAE and WFP to implement adaptation actions</v>
          </cell>
          <cell r="O22">
            <v>14135.65</v>
          </cell>
          <cell r="P22">
            <v>0</v>
          </cell>
          <cell r="Q22">
            <v>0</v>
          </cell>
        </row>
        <row r="23">
          <cell r="K23">
            <v>0</v>
          </cell>
          <cell r="L23">
            <v>0</v>
          </cell>
          <cell r="M23">
            <v>0</v>
          </cell>
          <cell r="N23" t="str">
            <v>1.2.4. Women participated in processes and decision making to develop adaptation plans</v>
          </cell>
          <cell r="O23">
            <v>3706.83</v>
          </cell>
          <cell r="P23">
            <v>0</v>
          </cell>
          <cell r="Q23">
            <v>0</v>
          </cell>
        </row>
        <row r="24">
          <cell r="K24">
            <v>0</v>
          </cell>
          <cell r="L24">
            <v>0</v>
          </cell>
          <cell r="M24">
            <v>0</v>
          </cell>
          <cell r="N24" t="str">
            <v>1.3.1. A climatic information system, including monitoring of climatic events, designed and implemented in each targeted areas in accordance with local context</v>
          </cell>
          <cell r="O24">
            <v>78446.06</v>
          </cell>
          <cell r="P24">
            <v>0</v>
          </cell>
          <cell r="Q24">
            <v>0</v>
          </cell>
        </row>
        <row r="25">
          <cell r="K25">
            <v>0</v>
          </cell>
          <cell r="L25">
            <v>0</v>
          </cell>
          <cell r="M25">
            <v>0</v>
          </cell>
          <cell r="N25" t="str">
            <v>1.3.2. Monitoring system to track project results and lessons learned</v>
          </cell>
          <cell r="O25">
            <v>19755.87</v>
          </cell>
          <cell r="P25">
            <v>0</v>
          </cell>
          <cell r="Q25">
            <v>0</v>
          </cell>
        </row>
        <row r="26">
          <cell r="K26">
            <v>0</v>
          </cell>
          <cell r="L26">
            <v>0</v>
          </cell>
          <cell r="M26">
            <v>0</v>
          </cell>
          <cell r="N26" t="str">
            <v>2.1.1. Concrete adaptation measures based on parish adaptation plans are designed</v>
          </cell>
          <cell r="O26">
            <v>22372.99</v>
          </cell>
          <cell r="P26">
            <v>0</v>
          </cell>
          <cell r="Q26">
            <v>0</v>
          </cell>
        </row>
        <row r="27">
          <cell r="K27">
            <v>0</v>
          </cell>
          <cell r="L27">
            <v>0</v>
          </cell>
          <cell r="M27">
            <v>0</v>
          </cell>
          <cell r="N27" t="str">
            <v>2.1.2. Adaptation to climate change measures (physical assets, natural assets and technologies) are implemented according with the parishes adaptation plans</v>
          </cell>
          <cell r="O27">
            <v>616581.76</v>
          </cell>
          <cell r="P27">
            <v>0</v>
          </cell>
          <cell r="Q27">
            <v>0</v>
          </cell>
        </row>
        <row r="28">
          <cell r="K28">
            <v>0</v>
          </cell>
          <cell r="L28">
            <v>0</v>
          </cell>
          <cell r="M28">
            <v>0</v>
          </cell>
          <cell r="N28" t="str">
            <v>2.1.3. Implementation strategy includes approach for the use of incentives</v>
          </cell>
          <cell r="O28">
            <v>0</v>
          </cell>
          <cell r="P28">
            <v>0</v>
          </cell>
          <cell r="Q28">
            <v>0</v>
          </cell>
        </row>
        <row r="29">
          <cell r="K29">
            <v>0</v>
          </cell>
          <cell r="L29">
            <v>0</v>
          </cell>
          <cell r="M29">
            <v>0</v>
          </cell>
          <cell r="N29" t="str">
            <v>2.2.1. Community participation, in particular of women, guide decision making processes for project execution</v>
          </cell>
          <cell r="O29">
            <v>4257.8999999999996</v>
          </cell>
          <cell r="P29">
            <v>0</v>
          </cell>
          <cell r="Q29">
            <v>0</v>
          </cell>
        </row>
        <row r="30">
          <cell r="K30">
            <v>0</v>
          </cell>
          <cell r="L30">
            <v>0</v>
          </cell>
          <cell r="M30">
            <v>0</v>
          </cell>
          <cell r="N30" t="str">
            <v>2.2.2. Parishes share success stories and lessons learned</v>
          </cell>
          <cell r="O30">
            <v>0</v>
          </cell>
          <cell r="P30">
            <v>0</v>
          </cell>
          <cell r="Q30">
            <v>0</v>
          </cell>
        </row>
        <row r="31">
          <cell r="K31">
            <v>0</v>
          </cell>
          <cell r="L31">
            <v>0</v>
          </cell>
          <cell r="M31">
            <v>0</v>
          </cell>
          <cell r="N31" t="str">
            <v>Execution Cost</v>
          </cell>
          <cell r="O31">
            <v>71966.03</v>
          </cell>
          <cell r="P31">
            <v>0</v>
          </cell>
          <cell r="Q31">
            <v>0</v>
          </cell>
        </row>
        <row r="32">
          <cell r="K32">
            <v>0</v>
          </cell>
          <cell r="L32">
            <v>0</v>
          </cell>
          <cell r="M32">
            <v>0</v>
          </cell>
          <cell r="N32" t="str">
            <v>TOTAL</v>
          </cell>
          <cell r="O32">
            <v>853840.12699999998</v>
          </cell>
          <cell r="P32">
            <v>0</v>
          </cell>
          <cell r="Q32">
            <v>0</v>
          </cell>
        </row>
        <row r="33">
          <cell r="K33">
            <v>0</v>
          </cell>
          <cell r="L33">
            <v>0</v>
          </cell>
          <cell r="M33">
            <v>0</v>
          </cell>
          <cell r="N33">
            <v>0</v>
          </cell>
          <cell r="O33">
            <v>781874.09699999995</v>
          </cell>
          <cell r="P33">
            <v>0</v>
          </cell>
          <cell r="Q33">
            <v>0</v>
          </cell>
        </row>
        <row r="34">
          <cell r="K34">
            <v>0</v>
          </cell>
          <cell r="L34" t="str">
            <v>PLANNED EXPENDITURE SCHEDULE</v>
          </cell>
          <cell r="M34">
            <v>0</v>
          </cell>
          <cell r="N34">
            <v>0</v>
          </cell>
          <cell r="O34">
            <v>0</v>
          </cell>
          <cell r="P34">
            <v>0</v>
          </cell>
          <cell r="Q34">
            <v>0</v>
          </cell>
        </row>
        <row r="35">
          <cell r="K35">
            <v>0</v>
          </cell>
          <cell r="L35" t="str">
            <v>List outputs planned and corresponding projected cost for the upcoming reporting period</v>
          </cell>
          <cell r="M35">
            <v>0</v>
          </cell>
          <cell r="N35" t="str">
            <v>ITEM / ACTIVITY / ACTION</v>
          </cell>
          <cell r="O35" t="str">
            <v>PROJECTED COST</v>
          </cell>
          <cell r="P35" t="str">
            <v>Est. Completion Date</v>
          </cell>
          <cell r="Q35">
            <v>0</v>
          </cell>
        </row>
        <row r="36">
          <cell r="K36">
            <v>0</v>
          </cell>
          <cell r="L36">
            <v>0</v>
          </cell>
          <cell r="M36">
            <v>0</v>
          </cell>
          <cell r="N36" t="str">
            <v>1.1.1. Parishes in targeted cantons trained in climate change threats and adaptation measures which reduce vulnerability, in particular related to food security</v>
          </cell>
          <cell r="O36">
            <v>0</v>
          </cell>
          <cell r="P36" t="str">
            <v>December 2016</v>
          </cell>
          <cell r="Q36">
            <v>0</v>
          </cell>
        </row>
        <row r="37">
          <cell r="K37">
            <v>0</v>
          </cell>
          <cell r="L37">
            <v>0</v>
          </cell>
          <cell r="M37">
            <v>0</v>
          </cell>
          <cell r="N37" t="str">
            <v>1.1.2. Targeted parishes participate in adaptation and risk reduction awareness activities</v>
          </cell>
          <cell r="O37">
            <v>11948.45</v>
          </cell>
          <cell r="P37" t="str">
            <v>December 2016</v>
          </cell>
          <cell r="Q37">
            <v>0</v>
          </cell>
        </row>
        <row r="38">
          <cell r="K38">
            <v>0</v>
          </cell>
          <cell r="L38">
            <v>0</v>
          </cell>
          <cell r="M38">
            <v>0</v>
          </cell>
          <cell r="N38" t="str">
            <v>1.1.3. Food security and gender considerations integrated in all adaptation training programs</v>
          </cell>
          <cell r="O38">
            <v>6768</v>
          </cell>
          <cell r="P38" t="str">
            <v>December 2016</v>
          </cell>
          <cell r="Q38">
            <v>0</v>
          </cell>
        </row>
        <row r="39">
          <cell r="K39">
            <v>0</v>
          </cell>
          <cell r="L39">
            <v>0</v>
          </cell>
          <cell r="M39">
            <v>0</v>
          </cell>
          <cell r="N39" t="str">
            <v>1.2.1.  Local adaptation plans developed to reduce vulnerabilities to climate change induced food insecurity in targeted areas</v>
          </cell>
          <cell r="O39">
            <v>5400</v>
          </cell>
          <cell r="P39" t="str">
            <v>December 2016</v>
          </cell>
          <cell r="Q39">
            <v>0</v>
          </cell>
        </row>
        <row r="40">
          <cell r="K40">
            <v>0</v>
          </cell>
          <cell r="L40">
            <v>0</v>
          </cell>
          <cell r="M40">
            <v>0</v>
          </cell>
          <cell r="N40" t="str">
            <v>1.2.2. Community participation in processes to develop adaptation plans in targeted parishes</v>
          </cell>
          <cell r="O40">
            <v>5358</v>
          </cell>
          <cell r="P40" t="str">
            <v>December 2016</v>
          </cell>
          <cell r="Q40">
            <v>0</v>
          </cell>
        </row>
        <row r="41">
          <cell r="K41">
            <v>0</v>
          </cell>
          <cell r="L41">
            <v>0</v>
          </cell>
          <cell r="M41">
            <v>0</v>
          </cell>
          <cell r="N41" t="str">
            <v>1.2.3. Agreements developed and signed among targeted parishes, GADPP or CCRJ, MAE and WFP to implement adaptation actions</v>
          </cell>
          <cell r="O41">
            <v>14100</v>
          </cell>
          <cell r="P41" t="str">
            <v>December 2016</v>
          </cell>
          <cell r="Q41">
            <v>0</v>
          </cell>
        </row>
        <row r="42">
          <cell r="K42">
            <v>0</v>
          </cell>
          <cell r="L42">
            <v>0</v>
          </cell>
          <cell r="M42">
            <v>0</v>
          </cell>
          <cell r="N42" t="str">
            <v>1.2.4. Women participated in processes and decision making to develop adaptation plans</v>
          </cell>
          <cell r="O42">
            <v>4521.6499999999996</v>
          </cell>
          <cell r="P42" t="str">
            <v>December 2016</v>
          </cell>
          <cell r="Q42">
            <v>0</v>
          </cell>
        </row>
        <row r="43">
          <cell r="K43">
            <v>0</v>
          </cell>
          <cell r="L43">
            <v>0</v>
          </cell>
          <cell r="M43">
            <v>0</v>
          </cell>
          <cell r="N43" t="str">
            <v>1.3.1. A climatic information system, including monitoring of climatic events, designed and implemented in each targeted areas in accordance with local context</v>
          </cell>
          <cell r="O43">
            <v>427321.48</v>
          </cell>
          <cell r="P43" t="str">
            <v>December 2016</v>
          </cell>
          <cell r="Q43">
            <v>0</v>
          </cell>
        </row>
        <row r="44">
          <cell r="K44">
            <v>0</v>
          </cell>
          <cell r="L44">
            <v>0</v>
          </cell>
          <cell r="M44">
            <v>0</v>
          </cell>
          <cell r="N44" t="str">
            <v>1.3.2. Monitoring system to track project results and lessons learned</v>
          </cell>
          <cell r="O44">
            <v>10000</v>
          </cell>
          <cell r="P44" t="str">
            <v>December 2016</v>
          </cell>
          <cell r="Q44">
            <v>0</v>
          </cell>
        </row>
        <row r="45">
          <cell r="K45">
            <v>0</v>
          </cell>
          <cell r="L45">
            <v>0</v>
          </cell>
          <cell r="M45">
            <v>0</v>
          </cell>
          <cell r="N45" t="str">
            <v>2.1.1. Concrete adaptation measures based on parish adaptation plans are designed</v>
          </cell>
          <cell r="O45">
            <v>52845.919999999998</v>
          </cell>
          <cell r="P45" t="str">
            <v>December 2016</v>
          </cell>
          <cell r="Q45">
            <v>0</v>
          </cell>
        </row>
        <row r="46">
          <cell r="K46">
            <v>0</v>
          </cell>
          <cell r="L46">
            <v>0</v>
          </cell>
          <cell r="M46">
            <v>0</v>
          </cell>
          <cell r="N46" t="str">
            <v>2.1.2. Adaptation to climate change measures (physical assets, natural assets and technologies) are implemented according with the parishes adaptation plans</v>
          </cell>
          <cell r="O46">
            <v>2418541.67</v>
          </cell>
          <cell r="P46" t="str">
            <v>December 2016</v>
          </cell>
          <cell r="Q46">
            <v>0</v>
          </cell>
        </row>
        <row r="47">
          <cell r="K47">
            <v>0</v>
          </cell>
          <cell r="L47">
            <v>0</v>
          </cell>
          <cell r="M47">
            <v>0</v>
          </cell>
          <cell r="N47" t="str">
            <v>2.1.3. Implementation strategy includes approach for the use of incentives</v>
          </cell>
          <cell r="O47">
            <v>447000</v>
          </cell>
          <cell r="P47" t="str">
            <v>December 2016</v>
          </cell>
          <cell r="Q47">
            <v>0</v>
          </cell>
        </row>
        <row r="48">
          <cell r="K48">
            <v>0</v>
          </cell>
          <cell r="L48">
            <v>0</v>
          </cell>
          <cell r="M48">
            <v>0</v>
          </cell>
          <cell r="N48" t="str">
            <v>2.2.1. Community participation, in particular of women, guide decision making processes for project execution</v>
          </cell>
          <cell r="O48">
            <v>33511.85</v>
          </cell>
          <cell r="P48" t="str">
            <v>December 2016</v>
          </cell>
          <cell r="Q48">
            <v>0</v>
          </cell>
        </row>
        <row r="49">
          <cell r="K49">
            <v>0</v>
          </cell>
          <cell r="L49">
            <v>0</v>
          </cell>
          <cell r="M49">
            <v>0</v>
          </cell>
          <cell r="N49" t="str">
            <v>2.2.2. Parishes share success stories and lessons learned</v>
          </cell>
          <cell r="O49">
            <v>61924</v>
          </cell>
          <cell r="P49" t="str">
            <v>December 2016</v>
          </cell>
          <cell r="Q49">
            <v>0</v>
          </cell>
        </row>
        <row r="50">
          <cell r="K50">
            <v>0</v>
          </cell>
          <cell r="L50">
            <v>0</v>
          </cell>
          <cell r="M50">
            <v>0</v>
          </cell>
          <cell r="N50" t="str">
            <v>Execution Cost</v>
          </cell>
          <cell r="O50">
            <v>90000</v>
          </cell>
          <cell r="P50" t="str">
            <v>December 2016</v>
          </cell>
          <cell r="Q50">
            <v>0</v>
          </cell>
        </row>
        <row r="51">
          <cell r="K51">
            <v>0</v>
          </cell>
          <cell r="L51">
            <v>0</v>
          </cell>
          <cell r="M51">
            <v>0</v>
          </cell>
          <cell r="N51" t="str">
            <v>TOTAL</v>
          </cell>
          <cell r="O51">
            <v>3589241.02</v>
          </cell>
          <cell r="P51">
            <v>0</v>
          </cell>
          <cell r="Q51">
            <v>0</v>
          </cell>
        </row>
        <row r="52">
          <cell r="K52">
            <v>0</v>
          </cell>
          <cell r="L52">
            <v>0</v>
          </cell>
          <cell r="M52">
            <v>0</v>
          </cell>
          <cell r="N52">
            <v>0</v>
          </cell>
          <cell r="O52">
            <v>0</v>
          </cell>
          <cell r="P52">
            <v>0</v>
          </cell>
          <cell r="Q52">
            <v>0</v>
          </cell>
        </row>
        <row r="53">
          <cell r="K53">
            <v>0</v>
          </cell>
          <cell r="L53" t="str">
            <v xml:space="preserve">ACTUAL CO-FINANCING (If the MTR or TE have not been undertaken this reporting period, DO NOT report on actual co-financing.) </v>
          </cell>
          <cell r="M53">
            <v>0</v>
          </cell>
          <cell r="N53">
            <v>0</v>
          </cell>
          <cell r="O53">
            <v>0</v>
          </cell>
          <cell r="P53">
            <v>0</v>
          </cell>
          <cell r="Q53">
            <v>0</v>
          </cell>
        </row>
        <row r="54">
          <cell r="K54">
            <v>0</v>
          </cell>
          <cell r="L54" t="str">
            <v>How much of the total co-financing as committed in the Project Document has actually been realized?</v>
          </cell>
          <cell r="M54">
            <v>0</v>
          </cell>
          <cell r="N54" t="str">
            <v>n/a</v>
          </cell>
          <cell r="O54">
            <v>0</v>
          </cell>
          <cell r="P54">
            <v>0</v>
          </cell>
          <cell r="Q54">
            <v>0</v>
          </cell>
        </row>
        <row r="55">
          <cell r="K55">
            <v>0</v>
          </cell>
          <cell r="L55">
            <v>0</v>
          </cell>
          <cell r="M55">
            <v>0</v>
          </cell>
          <cell r="N55">
            <v>0</v>
          </cell>
          <cell r="O55">
            <v>0</v>
          </cell>
          <cell r="P55">
            <v>0</v>
          </cell>
          <cell r="Q55">
            <v>0</v>
          </cell>
        </row>
        <row r="56">
          <cell r="K56">
            <v>0</v>
          </cell>
          <cell r="L56" t="str">
            <v xml:space="preserve">Estimated cumulative actual co-financing as verified during Mid-term Review (MTR) or Terminal Evaluation (TE). </v>
          </cell>
          <cell r="M56">
            <v>0</v>
          </cell>
          <cell r="N56">
            <v>590196</v>
          </cell>
          <cell r="O56">
            <v>0</v>
          </cell>
          <cell r="P56">
            <v>0</v>
          </cell>
          <cell r="Q56">
            <v>0</v>
          </cell>
        </row>
        <row r="57">
          <cell r="K57">
            <v>0</v>
          </cell>
          <cell r="L57" t="str">
            <v>Add any comments on actual co-financing in particular any issues related to the realization of in-kind, grant, credits, loans, equity, non-grant instruments and other types of co-financing. (word limit=200)</v>
          </cell>
          <cell r="M57">
            <v>0</v>
          </cell>
          <cell r="N57" t="str">
            <v>The amount confirmed at MTR corresponds to years 2013 and 2014.
This project has been able to leverage additional funds through formal commitments from local governments, MAE and UN Women. It is an important indication that even though co-financing is not required by the Adaptation Fund, the Government of Ecuador is committed to leveraging additional funds for the Project. MAE, WFP, UNWomen, GADPP and CCRJ committed cash &amp; in kind resources for project execution such as:
2013 US$ 112.985,00
MAE US$ 35.720,00
UNWomen US$ 77.265,00
2014 US$ 477.221,59
MAE US$ 242.222,42
GADPP US$ 107.070,00
CCRJ US$ 114.509,33
WFP US$ 13.419,84
2015 US$ 515.331,41
MAE US$ 292.989,16
GADPP US$ 85.156,86
CCRJ US$ 64.385,39
UN Women US$ 15.000,00
Local Governments US$ 39.800,00</v>
          </cell>
          <cell r="O57">
            <v>0</v>
          </cell>
          <cell r="P57">
            <v>0</v>
          </cell>
          <cell r="Q57">
            <v>0</v>
          </cell>
        </row>
        <row r="58">
          <cell r="K58">
            <v>0</v>
          </cell>
          <cell r="L58">
            <v>0</v>
          </cell>
          <cell r="M58">
            <v>0</v>
          </cell>
          <cell r="N58">
            <v>0</v>
          </cell>
          <cell r="O58">
            <v>0</v>
          </cell>
          <cell r="P58">
            <v>0</v>
          </cell>
          <cell r="Q58">
            <v>0</v>
          </cell>
        </row>
        <row r="59">
          <cell r="K59">
            <v>0</v>
          </cell>
          <cell r="L59">
            <v>0</v>
          </cell>
          <cell r="M59">
            <v>0</v>
          </cell>
          <cell r="N59">
            <v>0</v>
          </cell>
          <cell r="O59">
            <v>0</v>
          </cell>
          <cell r="P59">
            <v>0</v>
          </cell>
          <cell r="Q59">
            <v>0</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FinancialData"/>
      <sheetName val="Procurement"/>
      <sheetName val="Hoja1"/>
    </sheetNames>
    <sheetDataSet>
      <sheetData sheetId="0"/>
      <sheetData sheetId="1"/>
      <sheetData sheetId="2"/>
      <sheetData sheetId="3">
        <row r="2">
          <cell r="B2">
            <v>0</v>
          </cell>
          <cell r="C2">
            <v>0</v>
          </cell>
          <cell r="D2">
            <v>0</v>
          </cell>
          <cell r="E2">
            <v>0</v>
          </cell>
          <cell r="F2">
            <v>0</v>
          </cell>
          <cell r="G2">
            <v>0</v>
          </cell>
          <cell r="H2">
            <v>0</v>
          </cell>
          <cell r="I2">
            <v>0</v>
          </cell>
        </row>
        <row r="3">
          <cell r="B3">
            <v>0</v>
          </cell>
          <cell r="C3" t="str">
            <v>PROCUREMENT DATA</v>
          </cell>
          <cell r="D3">
            <v>0</v>
          </cell>
          <cell r="E3">
            <v>0</v>
          </cell>
          <cell r="F3">
            <v>0</v>
          </cell>
          <cell r="G3">
            <v>0</v>
          </cell>
          <cell r="H3">
            <v>0</v>
          </cell>
          <cell r="I3">
            <v>0</v>
          </cell>
        </row>
        <row r="4">
          <cell r="B4">
            <v>0</v>
          </cell>
          <cell r="C4">
            <v>0</v>
          </cell>
          <cell r="D4">
            <v>0</v>
          </cell>
          <cell r="E4">
            <v>0</v>
          </cell>
          <cell r="F4">
            <v>0</v>
          </cell>
          <cell r="G4">
            <v>0</v>
          </cell>
          <cell r="H4">
            <v>0</v>
          </cell>
          <cell r="I4">
            <v>0</v>
          </cell>
        </row>
        <row r="5">
          <cell r="B5">
            <v>0</v>
          </cell>
          <cell r="C5" t="str">
            <v>Please provide information for all contracts over $2.500 USD</v>
          </cell>
          <cell r="D5">
            <v>0</v>
          </cell>
          <cell r="E5">
            <v>0</v>
          </cell>
          <cell r="F5">
            <v>0</v>
          </cell>
          <cell r="G5">
            <v>0</v>
          </cell>
          <cell r="H5">
            <v>0</v>
          </cell>
          <cell r="I5">
            <v>0</v>
          </cell>
        </row>
        <row r="6">
          <cell r="B6">
            <v>0</v>
          </cell>
          <cell r="C6" t="str">
            <v>Please provide the number of  contracts under $2.500, signed during this reporting period:</v>
          </cell>
          <cell r="D6">
            <v>0</v>
          </cell>
          <cell r="E6">
            <v>0</v>
          </cell>
          <cell r="F6">
            <v>0</v>
          </cell>
          <cell r="G6">
            <v>0</v>
          </cell>
          <cell r="H6">
            <v>0</v>
          </cell>
          <cell r="I6">
            <v>0</v>
          </cell>
        </row>
        <row r="7">
          <cell r="B7">
            <v>0</v>
          </cell>
          <cell r="C7">
            <v>0</v>
          </cell>
          <cell r="D7">
            <v>0</v>
          </cell>
          <cell r="E7">
            <v>0</v>
          </cell>
          <cell r="F7">
            <v>0</v>
          </cell>
          <cell r="G7">
            <v>0</v>
          </cell>
          <cell r="H7">
            <v>0</v>
          </cell>
          <cell r="I7">
            <v>0</v>
          </cell>
        </row>
        <row r="8">
          <cell r="B8">
            <v>0</v>
          </cell>
          <cell r="C8" t="str">
            <v>LIST OF CONTRACTS</v>
          </cell>
          <cell r="D8">
            <v>0</v>
          </cell>
          <cell r="E8">
            <v>0</v>
          </cell>
          <cell r="F8">
            <v>0</v>
          </cell>
          <cell r="G8">
            <v>0</v>
          </cell>
          <cell r="H8">
            <v>0</v>
          </cell>
          <cell r="I8">
            <v>0</v>
          </cell>
        </row>
        <row r="9">
          <cell r="B9">
            <v>0</v>
          </cell>
          <cell r="C9" t="str">
            <v>List all contracts related to the project/program with signature dates</v>
          </cell>
          <cell r="D9">
            <v>0</v>
          </cell>
          <cell r="E9">
            <v>0</v>
          </cell>
          <cell r="F9">
            <v>0</v>
          </cell>
          <cell r="G9">
            <v>0</v>
          </cell>
          <cell r="H9">
            <v>0</v>
          </cell>
          <cell r="I9">
            <v>0</v>
          </cell>
        </row>
        <row r="10">
          <cell r="B10">
            <v>0</v>
          </cell>
          <cell r="C10" t="str">
            <v>Contract Type</v>
          </cell>
          <cell r="D10" t="str">
            <v>Agency / Contracted party</v>
          </cell>
          <cell r="E10" t="str">
            <v>Contract Value/Amount (USD)</v>
          </cell>
          <cell r="F10" t="str">
            <v>Signature Date</v>
          </cell>
          <cell r="G10" t="str">
            <v>Payment to Date</v>
          </cell>
          <cell r="H10" t="str">
            <v>Remaining Balance</v>
          </cell>
          <cell r="I10">
            <v>0</v>
          </cell>
        </row>
        <row r="11">
          <cell r="B11">
            <v>0</v>
          </cell>
          <cell r="C11" t="str">
            <v>Services</v>
          </cell>
          <cell r="D11" t="str">
            <v xml:space="preserve">MAE - Fundación INTERCOOPERATION, Vulnerability Analysis, Adaptation to Climate Change Plans and Measures for 12 parishes </v>
          </cell>
          <cell r="E11">
            <v>106968</v>
          </cell>
          <cell r="F11" t="str">
            <v>June 16, 2015</v>
          </cell>
          <cell r="G11">
            <v>101726.56999999999</v>
          </cell>
          <cell r="H11">
            <v>5241.4300000000076</v>
          </cell>
          <cell r="I11">
            <v>0</v>
          </cell>
        </row>
        <row r="12">
          <cell r="B12">
            <v>0</v>
          </cell>
          <cell r="C12" t="str">
            <v>Goods</v>
          </cell>
          <cell r="D12" t="str">
            <v>GAD PP - Torres Herrera Carlos
Irrigation materials</v>
          </cell>
          <cell r="E12">
            <v>37499</v>
          </cell>
          <cell r="F12" t="str">
            <v>May 15, 2015</v>
          </cell>
          <cell r="G12">
            <v>37499</v>
          </cell>
          <cell r="H12">
            <v>0</v>
          </cell>
          <cell r="I12">
            <v>0</v>
          </cell>
        </row>
        <row r="13">
          <cell r="B13">
            <v>0</v>
          </cell>
          <cell r="C13" t="str">
            <v>Goods</v>
          </cell>
          <cell r="D13" t="str">
            <v xml:space="preserve">GAD PP - MACCAFERRI S.A.
Irrigation materials </v>
          </cell>
          <cell r="E13">
            <v>50005.43</v>
          </cell>
          <cell r="F13" t="str">
            <v>May 11, 2015</v>
          </cell>
          <cell r="G13">
            <v>50005.43</v>
          </cell>
          <cell r="H13">
            <v>0</v>
          </cell>
          <cell r="I13">
            <v>0</v>
          </cell>
        </row>
        <row r="14">
          <cell r="B14">
            <v>0</v>
          </cell>
          <cell r="C14" t="str">
            <v>Goods</v>
          </cell>
          <cell r="D14" t="str">
            <v xml:space="preserve">GAD PP - MACCAFERRI S.A.
Irrigation materials </v>
          </cell>
          <cell r="E14">
            <v>46762.19</v>
          </cell>
          <cell r="F14" t="str">
            <v>May 14, 2015</v>
          </cell>
          <cell r="G14">
            <v>46762.19</v>
          </cell>
          <cell r="H14">
            <v>0</v>
          </cell>
          <cell r="I14">
            <v>0</v>
          </cell>
        </row>
        <row r="15">
          <cell r="B15">
            <v>0</v>
          </cell>
          <cell r="C15" t="str">
            <v>Goods</v>
          </cell>
          <cell r="D15" t="str">
            <v xml:space="preserve">GAD PP - MACCAFERRI S.A.
Irrigation materials </v>
          </cell>
          <cell r="E15">
            <v>43557.75</v>
          </cell>
          <cell r="F15" t="str">
            <v>August 21, 2015</v>
          </cell>
          <cell r="G15">
            <v>43557.75</v>
          </cell>
          <cell r="H15">
            <v>0</v>
          </cell>
          <cell r="I15">
            <v>0</v>
          </cell>
        </row>
        <row r="16">
          <cell r="B16">
            <v>0</v>
          </cell>
          <cell r="C16" t="str">
            <v>Goods</v>
          </cell>
          <cell r="D16" t="str">
            <v>GAD PP - 
PIVALTEC S.A. 
Irrigation materials</v>
          </cell>
          <cell r="E16">
            <v>52781.83</v>
          </cell>
          <cell r="F16" t="str">
            <v>September 8, 2015</v>
          </cell>
          <cell r="G16">
            <v>52781.83</v>
          </cell>
          <cell r="H16">
            <v>0</v>
          </cell>
          <cell r="I16">
            <v>0</v>
          </cell>
        </row>
        <row r="17">
          <cell r="B17">
            <v>0</v>
          </cell>
          <cell r="C17" t="str">
            <v>Goods</v>
          </cell>
          <cell r="D17" t="str">
            <v xml:space="preserve">GAD PP - MACCAFERRI S.A.
Irrigation materials </v>
          </cell>
          <cell r="E17">
            <v>36500</v>
          </cell>
          <cell r="F17" t="str">
            <v>October 6, 2015</v>
          </cell>
          <cell r="G17">
            <v>36500</v>
          </cell>
          <cell r="H17">
            <v>0</v>
          </cell>
          <cell r="I17">
            <v>0</v>
          </cell>
        </row>
        <row r="18">
          <cell r="B18">
            <v>0</v>
          </cell>
          <cell r="C18" t="str">
            <v>Personnel - National</v>
          </cell>
          <cell r="D18" t="str">
            <v>CCRJ - GONZALEZ GONZALEZ HOLGER RENAN
Local promoter of Urdaneta Parish for 4 months</v>
          </cell>
          <cell r="E18">
            <v>4400</v>
          </cell>
          <cell r="F18" t="str">
            <v>September 7, 2015</v>
          </cell>
          <cell r="G18">
            <v>1980</v>
          </cell>
          <cell r="H18">
            <v>2420</v>
          </cell>
          <cell r="I18">
            <v>0</v>
          </cell>
        </row>
        <row r="19">
          <cell r="B19">
            <v>0</v>
          </cell>
          <cell r="C19" t="str">
            <v>Goods</v>
          </cell>
          <cell r="D19" t="str">
            <v>CCRJ - PALAGUACHI GUARTAN INÉS LUCÍA
Irrigation materials</v>
          </cell>
          <cell r="E19">
            <v>38300</v>
          </cell>
          <cell r="F19" t="str">
            <v>September 14, 2015</v>
          </cell>
          <cell r="G19">
            <v>18767</v>
          </cell>
          <cell r="H19">
            <v>19533</v>
          </cell>
          <cell r="I19">
            <v>0</v>
          </cell>
        </row>
        <row r="20">
          <cell r="B20">
            <v>0</v>
          </cell>
          <cell r="C20" t="str">
            <v>Goods</v>
          </cell>
          <cell r="D20" t="str">
            <v>CCRJ - FLORES ASQUI, MARCELO ARMANDO
Organic fertilizer</v>
          </cell>
          <cell r="E20">
            <v>37000</v>
          </cell>
          <cell r="F20" t="str">
            <v>September 23, 2015</v>
          </cell>
          <cell r="G20">
            <v>18500</v>
          </cell>
          <cell r="H20">
            <v>18500</v>
          </cell>
          <cell r="I20">
            <v>0</v>
          </cell>
        </row>
        <row r="21">
          <cell r="B21">
            <v>0</v>
          </cell>
          <cell r="C21" t="str">
            <v>Services</v>
          </cell>
          <cell r="D21" t="str">
            <v>CCRJ - LUIS ALBERTO VALDEZ MOLINA
Transportation services for construction materials</v>
          </cell>
          <cell r="E21">
            <v>2768.5</v>
          </cell>
          <cell r="F21" t="str">
            <v>November 12, 2015</v>
          </cell>
          <cell r="G21">
            <v>2415</v>
          </cell>
          <cell r="H21">
            <v>353.5</v>
          </cell>
          <cell r="I21">
            <v>0</v>
          </cell>
        </row>
        <row r="22">
          <cell r="B22">
            <v>0</v>
          </cell>
          <cell r="C22" t="str">
            <v>Goods</v>
          </cell>
          <cell r="D22" t="str">
            <v>CCRJ -UCEM
Cement for irrigation infrastructure</v>
          </cell>
          <cell r="E22">
            <v>10918.2</v>
          </cell>
          <cell r="F22" t="str">
            <v>November 24, 2015</v>
          </cell>
          <cell r="G22">
            <v>9577.6</v>
          </cell>
          <cell r="H22">
            <v>1340.6000000000004</v>
          </cell>
          <cell r="I22">
            <v>0</v>
          </cell>
        </row>
        <row r="23">
          <cell r="B23">
            <v>0</v>
          </cell>
          <cell r="C23" t="str">
            <v>Personnel - National</v>
          </cell>
          <cell r="D23" t="str">
            <v>CCRJ - DELGADO VERDUGO PABLO LEONARDO
Design of irrigation infrastructure</v>
          </cell>
          <cell r="E23">
            <v>7250</v>
          </cell>
          <cell r="F23" t="str">
            <v>December 7, 2015</v>
          </cell>
          <cell r="G23">
            <v>6174</v>
          </cell>
          <cell r="H23">
            <v>1076</v>
          </cell>
          <cell r="I23">
            <v>0</v>
          </cell>
        </row>
        <row r="24">
          <cell r="B24">
            <v>0</v>
          </cell>
          <cell r="C24" t="str">
            <v>Services</v>
          </cell>
          <cell r="D24" t="str">
            <v>CCRJ -JAPON MEDINA ANGEL POLIVIO
Construction (workforce) of irrigation infrastructure</v>
          </cell>
          <cell r="E24">
            <v>2820</v>
          </cell>
          <cell r="F24" t="str">
            <v>December 7, 2015</v>
          </cell>
          <cell r="G24">
            <v>392</v>
          </cell>
          <cell r="H24">
            <v>2428</v>
          </cell>
          <cell r="I24">
            <v>0</v>
          </cell>
        </row>
        <row r="25">
          <cell r="B25">
            <v>0</v>
          </cell>
          <cell r="C25" t="str">
            <v>Personnel - National</v>
          </cell>
          <cell r="D25" t="str">
            <v>CCRJ - LUIS ALBERTO VINTIMILLA GONZÁLES
Design of irrigation infrastructure</v>
          </cell>
          <cell r="E25">
            <v>2650</v>
          </cell>
          <cell r="F25" t="str">
            <v>December 15, 2015</v>
          </cell>
          <cell r="G25">
            <v>1590</v>
          </cell>
          <cell r="H25">
            <v>1060</v>
          </cell>
          <cell r="I25">
            <v>0</v>
          </cell>
        </row>
        <row r="26">
          <cell r="B26">
            <v>0</v>
          </cell>
          <cell r="C26" t="str">
            <v>Personnel - National</v>
          </cell>
          <cell r="D26" t="str">
            <v>WFP - Javier Rojas, Project Manager</v>
          </cell>
          <cell r="E26">
            <v>127395.51428571428</v>
          </cell>
          <cell r="F26" t="str">
            <v>September 1, 2013</v>
          </cell>
          <cell r="G26">
            <v>95546.635714285716</v>
          </cell>
          <cell r="H26">
            <v>31848.878571428562</v>
          </cell>
          <cell r="I26">
            <v>0</v>
          </cell>
        </row>
        <row r="27">
          <cell r="B27">
            <v>0</v>
          </cell>
          <cell r="C27" t="str">
            <v>Personnel - National</v>
          </cell>
          <cell r="D27" t="str">
            <v>WFP - Mayra Salinas, Adaptation Measures Design for 3 parishes</v>
          </cell>
          <cell r="E27">
            <v>13500</v>
          </cell>
          <cell r="F27" t="str">
            <v>April 8, 2015</v>
          </cell>
          <cell r="G27">
            <v>13500</v>
          </cell>
          <cell r="H27">
            <v>0</v>
          </cell>
          <cell r="I27">
            <v>0</v>
          </cell>
        </row>
        <row r="28">
          <cell r="B28">
            <v>0</v>
          </cell>
          <cell r="C28" t="str">
            <v>Personnel - International</v>
          </cell>
          <cell r="D28" t="str">
            <v>WFP - Carlos Rodriguez-Ariza, MidTerm Evaluation</v>
          </cell>
          <cell r="E28">
            <v>15000</v>
          </cell>
          <cell r="F28" t="str">
            <v>March 2, 2015</v>
          </cell>
          <cell r="G28">
            <v>15000</v>
          </cell>
          <cell r="H28">
            <v>0</v>
          </cell>
          <cell r="I28">
            <v>0</v>
          </cell>
        </row>
        <row r="29">
          <cell r="B29">
            <v>0</v>
          </cell>
          <cell r="C29" t="str">
            <v>Memorandum of Understanding</v>
          </cell>
          <cell r="D29" t="str">
            <v>WFP - CIIFEN, Climatic Information System for Jubones</v>
          </cell>
          <cell r="E29">
            <v>335389.59999999998</v>
          </cell>
          <cell r="F29" t="str">
            <v>August 1, 2014</v>
          </cell>
          <cell r="G29">
            <v>119512.40000000001</v>
          </cell>
          <cell r="H29">
            <v>215877.19999999995</v>
          </cell>
          <cell r="I29">
            <v>0</v>
          </cell>
        </row>
        <row r="30">
          <cell r="B30">
            <v>0</v>
          </cell>
          <cell r="C30" t="str">
            <v>Goods</v>
          </cell>
          <cell r="D30" t="str">
            <v>WFP - EF Riego, Procurement of goods to elaborate bio compost</v>
          </cell>
          <cell r="E30">
            <v>42063.45</v>
          </cell>
          <cell r="F30" t="str">
            <v>December 10,2015</v>
          </cell>
          <cell r="G30">
            <v>0</v>
          </cell>
          <cell r="H30">
            <v>42063.45</v>
          </cell>
          <cell r="I30">
            <v>0</v>
          </cell>
        </row>
        <row r="31">
          <cell r="B31">
            <v>0</v>
          </cell>
          <cell r="C31" t="str">
            <v>* Contract/MuO amounts verified with original documents. Documents are kept in each institution files. Project team has a copy of them.</v>
          </cell>
          <cell r="D31">
            <v>0</v>
          </cell>
          <cell r="E31">
            <v>0</v>
          </cell>
          <cell r="F31">
            <v>0</v>
          </cell>
          <cell r="G31">
            <v>0</v>
          </cell>
          <cell r="H31">
            <v>0</v>
          </cell>
          <cell r="I31">
            <v>0</v>
          </cell>
        </row>
        <row r="32">
          <cell r="B32">
            <v>0</v>
          </cell>
          <cell r="C32" t="str">
            <v>** Staff contracted by CCRJ and WFP under their HR rules and regulations.</v>
          </cell>
          <cell r="D32">
            <v>0</v>
          </cell>
          <cell r="E32">
            <v>0</v>
          </cell>
          <cell r="F32">
            <v>0</v>
          </cell>
          <cell r="G32">
            <v>0</v>
          </cell>
          <cell r="H32">
            <v>0</v>
          </cell>
          <cell r="I32">
            <v>0</v>
          </cell>
        </row>
        <row r="33">
          <cell r="B33">
            <v>0</v>
          </cell>
          <cell r="C33" t="str">
            <v>*** MUO signed by WFP is not considering procurement processes. The agreement was negotiated directly with institutions that demonstrated technical experience in the field.</v>
          </cell>
          <cell r="D33">
            <v>0</v>
          </cell>
          <cell r="E33">
            <v>0</v>
          </cell>
          <cell r="F33">
            <v>0</v>
          </cell>
          <cell r="G33">
            <v>0</v>
          </cell>
          <cell r="H33">
            <v>0</v>
          </cell>
          <cell r="I33">
            <v>0</v>
          </cell>
        </row>
        <row r="34">
          <cell r="B34">
            <v>0</v>
          </cell>
          <cell r="C34">
            <v>0</v>
          </cell>
          <cell r="D34">
            <v>0</v>
          </cell>
          <cell r="E34">
            <v>0</v>
          </cell>
          <cell r="F34">
            <v>0</v>
          </cell>
          <cell r="G34">
            <v>0</v>
          </cell>
          <cell r="H34">
            <v>0</v>
          </cell>
          <cell r="I34">
            <v>0</v>
          </cell>
        </row>
        <row r="35">
          <cell r="B35">
            <v>0</v>
          </cell>
          <cell r="C35" t="str">
            <v>BIDS</v>
          </cell>
          <cell r="D35">
            <v>0</v>
          </cell>
          <cell r="E35">
            <v>0</v>
          </cell>
          <cell r="F35">
            <v>0</v>
          </cell>
          <cell r="G35">
            <v>0</v>
          </cell>
          <cell r="H35">
            <v>0</v>
          </cell>
          <cell r="I35">
            <v>0</v>
          </cell>
        </row>
        <row r="36">
          <cell r="B36">
            <v>0</v>
          </cell>
          <cell r="C36" t="str">
            <v>List all bids for each contact signed with date of open call and winning bid</v>
          </cell>
          <cell r="D36">
            <v>0</v>
          </cell>
          <cell r="E36">
            <v>0</v>
          </cell>
          <cell r="F36">
            <v>0</v>
          </cell>
          <cell r="G36">
            <v>0</v>
          </cell>
          <cell r="H36">
            <v>0</v>
          </cell>
          <cell r="I36">
            <v>0</v>
          </cell>
        </row>
        <row r="37">
          <cell r="B37">
            <v>0</v>
          </cell>
          <cell r="C37" t="str">
            <v>CONTRACT &amp; Procurement Method</v>
          </cell>
          <cell r="D37" t="str">
            <v>Submitted Bids</v>
          </cell>
          <cell r="E37" t="str">
            <v>Bid Amount (USD)</v>
          </cell>
          <cell r="F37" t="str">
            <v>Winning Bid Amount (USD)</v>
          </cell>
          <cell r="G37" t="str">
            <v>Selection Justification for the Winner</v>
          </cell>
          <cell r="H37">
            <v>0</v>
          </cell>
          <cell r="I37">
            <v>0</v>
          </cell>
        </row>
        <row r="38">
          <cell r="B38">
            <v>0</v>
          </cell>
          <cell r="C38" t="str">
            <v>GADPP
Procurement of goods to construct water pipelines for Pitana Bajo Community, Cangagua Parish
Procurement Method: Inverse Auction (Subasta Inversa)
Date of Call: April 8, 2015</v>
          </cell>
          <cell r="D38" t="str">
            <v>Torres Herrera Carlos</v>
          </cell>
          <cell r="E38">
            <v>57525</v>
          </cell>
          <cell r="F38">
            <v>37499</v>
          </cell>
          <cell r="G38" t="str">
            <v>Procurement process done by GADPP through the procurement digital government system under method called Inverse Auction (Portal de Compras Públicas - Subasta Inversa). 
Four bids were received. Selection process went throughout two phases: The first was the technical selection and the second was the economic selection. If the technical phase is overcome, the process allows price bids.
The bid with the lowest price was selected.</v>
          </cell>
          <cell r="H38">
            <v>0</v>
          </cell>
          <cell r="I38">
            <v>0</v>
          </cell>
        </row>
        <row r="39">
          <cell r="B39">
            <v>0</v>
          </cell>
          <cell r="C39">
            <v>0</v>
          </cell>
          <cell r="D39" t="str">
            <v>Agustin Franco</v>
          </cell>
          <cell r="E39">
            <v>57463.64</v>
          </cell>
          <cell r="F39">
            <v>0</v>
          </cell>
          <cell r="G39">
            <v>0</v>
          </cell>
          <cell r="H39">
            <v>0</v>
          </cell>
          <cell r="I39">
            <v>0</v>
          </cell>
        </row>
        <row r="40">
          <cell r="B40">
            <v>0</v>
          </cell>
          <cell r="C40">
            <v>0</v>
          </cell>
          <cell r="D40" t="str">
            <v>María Isabel Maldonado</v>
          </cell>
          <cell r="E40">
            <v>57525</v>
          </cell>
          <cell r="F40">
            <v>0</v>
          </cell>
          <cell r="G40">
            <v>0</v>
          </cell>
          <cell r="H40">
            <v>0</v>
          </cell>
          <cell r="I40">
            <v>0</v>
          </cell>
        </row>
        <row r="41">
          <cell r="B41">
            <v>0</v>
          </cell>
          <cell r="C41">
            <v>0</v>
          </cell>
          <cell r="D41" t="str">
            <v>MEMKADISHSA</v>
          </cell>
          <cell r="E41">
            <v>57525.75</v>
          </cell>
          <cell r="F41">
            <v>0</v>
          </cell>
          <cell r="G41">
            <v>0</v>
          </cell>
          <cell r="H41">
            <v>0</v>
          </cell>
          <cell r="I41">
            <v>0</v>
          </cell>
        </row>
        <row r="42">
          <cell r="B42">
            <v>0</v>
          </cell>
          <cell r="C42" t="str">
            <v>GADPP
Procurement of goods to coat and protect water reservoir for San Luis de Ichisí Community, Tabacundo Canton
Procurement Method: Inverse Auction (Subasta Inversa)
Date of Call: April 9, 2015</v>
          </cell>
          <cell r="D42" t="str">
            <v>MACCAFERRI DE ECUADOR S.A.</v>
          </cell>
          <cell r="E42">
            <v>52203.47</v>
          </cell>
          <cell r="F42">
            <v>50005.43</v>
          </cell>
          <cell r="G42" t="str">
            <v>Procurement process done by GADPP through the procurement digital government system under method called Inverse Auction (Portal de Compras Públicas - Subasta Inversa). 
There was only one bid. After certifying technical compliance, according to Ecuadorian National Procurement Rules and Regulations (Art. 47; No. 4), the only bid needs to decrease its offer in at least 5%.
The offeror made a reduction of  9% and was contracted.</v>
          </cell>
          <cell r="H42">
            <v>0</v>
          </cell>
          <cell r="I42">
            <v>0</v>
          </cell>
        </row>
        <row r="43">
          <cell r="B43">
            <v>0</v>
          </cell>
          <cell r="C43" t="str">
            <v>GADPP
Procurement of goods to coat and protect water reservoir for El Rosario Community, La Esperanza Parish
Procurement Method: Inverse Auction (Subasta Inversa)
Date of Call: April 27, 2015</v>
          </cell>
          <cell r="D43" t="str">
            <v>MACCAFERRI DE ECUADOR S.A.</v>
          </cell>
          <cell r="E43">
            <v>51856.86</v>
          </cell>
          <cell r="F43">
            <v>46762.19</v>
          </cell>
          <cell r="G43" t="str">
            <v>Procurement process done by GADPP through the procurement digital government system under method called Inverse Auction (Portal de Compras Públicas - Subasta Inversa). 
There was only one bid that complies with technical requirement. The other one was disqualified. According to Ecuadorian National Procurement Rules and Regulations (Art. 47; No. 4), the only bid needs to decrease its offer in at least 5%.
The offeror made a reduction of  10% and was contracted.</v>
          </cell>
          <cell r="H43">
            <v>0</v>
          </cell>
          <cell r="I43">
            <v>0</v>
          </cell>
        </row>
        <row r="44">
          <cell r="B44">
            <v>0</v>
          </cell>
          <cell r="C44">
            <v>0</v>
          </cell>
          <cell r="D44" t="str">
            <v>GETCOSYNTHETIC S.A.</v>
          </cell>
          <cell r="E44" t="str">
            <v>n/a</v>
          </cell>
          <cell r="F44">
            <v>0</v>
          </cell>
          <cell r="G44">
            <v>0</v>
          </cell>
          <cell r="H44">
            <v>0</v>
          </cell>
          <cell r="I44">
            <v>0</v>
          </cell>
        </row>
        <row r="45">
          <cell r="B45">
            <v>0</v>
          </cell>
          <cell r="C45" t="str">
            <v>GADPP
Procurement of goods to coat and protect water reservoir for San Juan Community, Malchingui Parish
Procurement Method: Inverse Auction (Subasta Inversa)
Date of Call: July 28, 2015</v>
          </cell>
          <cell r="D45" t="str">
            <v>MACAFERRI DE ECUADOR S.A.</v>
          </cell>
          <cell r="E45">
            <v>48397.5</v>
          </cell>
          <cell r="F45">
            <v>43557.75</v>
          </cell>
          <cell r="G45" t="str">
            <v>Procurement process done by GADPP through the procurement digital government system under method called Inverse Auction (Portal de Compras Públicas - Subasta Inversa). 
There was only one bid that complies with technical requirement. The other one was disqualified. According to Ecuadorian National Procurement Rules and Regulations (Art. 47; No. 4), the only bid needs to decrease its offer in at least 5%.
The offeror made a reduction of  10% and was contracted.</v>
          </cell>
          <cell r="H45">
            <v>0</v>
          </cell>
          <cell r="I45">
            <v>0</v>
          </cell>
        </row>
        <row r="46">
          <cell r="B46">
            <v>0</v>
          </cell>
          <cell r="C46">
            <v>0</v>
          </cell>
          <cell r="D46" t="str">
            <v>NEXTCO NUEVAS TECNICAS DE CONSTRUCCIÓN CIA. LTDA.</v>
          </cell>
          <cell r="E46" t="str">
            <v>n/a</v>
          </cell>
          <cell r="F46">
            <v>0</v>
          </cell>
          <cell r="G46">
            <v>0</v>
          </cell>
          <cell r="H46">
            <v>0</v>
          </cell>
          <cell r="I46">
            <v>0</v>
          </cell>
        </row>
        <row r="47">
          <cell r="B47">
            <v>0</v>
          </cell>
          <cell r="C47" t="str">
            <v>GADPP
Procurement of goods to coat and protect water reservoir for La Chimba Community, Cayambe Canton
Procurement Method: Inverse Auction (Subasta Inversa)
Date of Call: July 28, 2015</v>
          </cell>
          <cell r="D47" t="str">
            <v>PIVALTEC S.A.</v>
          </cell>
          <cell r="E47">
            <v>56602.33</v>
          </cell>
          <cell r="F47">
            <v>52781.83</v>
          </cell>
          <cell r="G47" t="str">
            <v>Procurement process done by GADPP through the procurement digital government system under method called Inverse Auction (Portal de Compras Públicas - Subasta Inversa). 
There was only one bid that complies with technical requirement. The other one was disqualified. According to Ecuadorian National Procurement Rules and Regulations (Art. 47; No. 4), the only bid needs to decrease its offer in at least 5%.
The offeror made a reduction of  7% and was contracted.</v>
          </cell>
          <cell r="H47">
            <v>0</v>
          </cell>
          <cell r="I47">
            <v>0</v>
          </cell>
        </row>
        <row r="48">
          <cell r="B48">
            <v>0</v>
          </cell>
          <cell r="C48">
            <v>0</v>
          </cell>
          <cell r="D48" t="str">
            <v>MACAFERRI DE ECUADOR S.A.</v>
          </cell>
          <cell r="E48" t="str">
            <v>n/a</v>
          </cell>
          <cell r="F48">
            <v>0</v>
          </cell>
          <cell r="G48">
            <v>0</v>
          </cell>
          <cell r="H48">
            <v>0</v>
          </cell>
          <cell r="I48">
            <v>0</v>
          </cell>
        </row>
        <row r="49">
          <cell r="B49">
            <v>0</v>
          </cell>
          <cell r="C49">
            <v>0</v>
          </cell>
          <cell r="D49" t="str">
            <v>GETCOSYNTHETIC S.A.</v>
          </cell>
          <cell r="E49" t="str">
            <v>n/a</v>
          </cell>
          <cell r="F49">
            <v>0</v>
          </cell>
          <cell r="G49">
            <v>0</v>
          </cell>
          <cell r="H49">
            <v>0</v>
          </cell>
          <cell r="I49">
            <v>0</v>
          </cell>
        </row>
        <row r="50">
          <cell r="B50">
            <v>0</v>
          </cell>
          <cell r="C50" t="str">
            <v>GADPP
Procurement of goods to coat and protect water reservoir for Otoncito Community, Oton Parish
Procurement Method: Inverse Auction (Subasta Inversa)
Date of Call: August 7, 2015</v>
          </cell>
          <cell r="D50" t="str">
            <v>MACCAFERRI DE ECUADOR S.A.</v>
          </cell>
          <cell r="E50">
            <v>55490.32</v>
          </cell>
          <cell r="F50">
            <v>36500</v>
          </cell>
          <cell r="G50" t="str">
            <v>Procurement process done by GADPP through the procurement digital government system under method called Inverse Auction (Portal de Compras Públicas - Subasta Inversa). 
Two bids were received. Selection process went throughout two phases: The first was the technical selection and the second was the economic selection. If the technical phase is overcome, the process allows price bids.
The bid with the lowest price was selected.</v>
          </cell>
          <cell r="H50">
            <v>0</v>
          </cell>
          <cell r="I50">
            <v>0</v>
          </cell>
        </row>
        <row r="51">
          <cell r="B51">
            <v>0</v>
          </cell>
          <cell r="C51">
            <v>0</v>
          </cell>
          <cell r="D51" t="str">
            <v>NEXTCO NUEVAS TECNICAS DE CONSTRUCCIÓN CIA. LTDA.</v>
          </cell>
          <cell r="E51">
            <v>53416.72</v>
          </cell>
          <cell r="F51">
            <v>0</v>
          </cell>
          <cell r="G51">
            <v>0</v>
          </cell>
          <cell r="H51">
            <v>0</v>
          </cell>
          <cell r="I51">
            <v>0</v>
          </cell>
        </row>
        <row r="52">
          <cell r="B52">
            <v>0</v>
          </cell>
          <cell r="C52" t="str">
            <v xml:space="preserve">CCRJ
Selection of personnel. Local Promoter for Urdaneta Parish
Procurement Method: Direct Contracting
Date of Call: n/a
</v>
          </cell>
          <cell r="D52" t="str">
            <v>GONZALEZ GONZALEZ HOLGER</v>
          </cell>
          <cell r="E52">
            <v>4400</v>
          </cell>
          <cell r="F52">
            <v>4400</v>
          </cell>
          <cell r="G52" t="str">
            <v>Urdaneta Parish Government recommends the direct contracting after analyzing 3 candidates.</v>
          </cell>
          <cell r="H52">
            <v>0</v>
          </cell>
          <cell r="I52">
            <v>0</v>
          </cell>
        </row>
        <row r="53">
          <cell r="B53">
            <v>0</v>
          </cell>
          <cell r="C53" t="str">
            <v>CCRJ
Procurement of goods to improve irrigation systems for Tenta, Urdaneta, Guanazán and Girón parishes. 
Procurement Method: Inverse Auction (Subasta Inversa)
Date of Call:</v>
          </cell>
          <cell r="D53" t="str">
            <v>PALAGUACHI GUARTAN INÉS LUCÍA</v>
          </cell>
          <cell r="E53">
            <v>38300</v>
          </cell>
          <cell r="F53">
            <v>38300</v>
          </cell>
          <cell r="G53" t="str">
            <v>Procurement process done by CCRJ through the procurement digital government system under method called Inverse Auction (Portal de Compras Públicas - Subasta Inversa). 
Five bids were received. Selection process went throughout two phases: The first was the technical selection and the second was the economic selection. If the technical phase is overcome, the process allows price bids.
The bid with the lowest price was selected. A saving of $13.918,33 against reference budget.</v>
          </cell>
          <cell r="H53">
            <v>0</v>
          </cell>
          <cell r="I53">
            <v>0</v>
          </cell>
        </row>
        <row r="54">
          <cell r="B54">
            <v>0</v>
          </cell>
          <cell r="C54">
            <v>0</v>
          </cell>
          <cell r="D54" t="str">
            <v>SARMIENTO JARRIN ANGEL RAMIRO</v>
          </cell>
          <cell r="E54">
            <v>39478.1</v>
          </cell>
          <cell r="F54">
            <v>0</v>
          </cell>
          <cell r="G54">
            <v>0</v>
          </cell>
          <cell r="H54">
            <v>0</v>
          </cell>
          <cell r="I54">
            <v>0</v>
          </cell>
        </row>
        <row r="55">
          <cell r="B55">
            <v>0</v>
          </cell>
          <cell r="C55">
            <v>0</v>
          </cell>
          <cell r="D55" t="str">
            <v>DITECUENCA CIA. LTDA.</v>
          </cell>
          <cell r="E55">
            <v>41000</v>
          </cell>
          <cell r="F55">
            <v>0</v>
          </cell>
          <cell r="G55">
            <v>0</v>
          </cell>
          <cell r="H55">
            <v>0</v>
          </cell>
          <cell r="I55">
            <v>0</v>
          </cell>
        </row>
        <row r="56">
          <cell r="B56">
            <v>0</v>
          </cell>
          <cell r="C56">
            <v>0</v>
          </cell>
          <cell r="D56" t="str">
            <v>AXL SA COMPAÑIA DE COMERCIO</v>
          </cell>
          <cell r="E56">
            <v>47000</v>
          </cell>
          <cell r="F56">
            <v>0</v>
          </cell>
          <cell r="G56">
            <v>0</v>
          </cell>
          <cell r="H56">
            <v>0</v>
          </cell>
          <cell r="I56">
            <v>0</v>
          </cell>
        </row>
        <row r="57">
          <cell r="B57">
            <v>0</v>
          </cell>
          <cell r="C57">
            <v>0</v>
          </cell>
          <cell r="D57" t="str">
            <v>RODRIGUEZ MENESES RAQUEL ANDREA</v>
          </cell>
          <cell r="E57">
            <v>52216</v>
          </cell>
          <cell r="F57">
            <v>0</v>
          </cell>
          <cell r="G57">
            <v>0</v>
          </cell>
          <cell r="H57">
            <v>0</v>
          </cell>
          <cell r="I57">
            <v>0</v>
          </cell>
        </row>
        <row r="58">
          <cell r="B58">
            <v>0</v>
          </cell>
          <cell r="C58" t="str">
            <v>CCRJ
Procurement of organic fertilizer for agriculture activities in Shaglli and Chumblin parishes. 
Procurement Method: Inverse Auction (Subasta Inversa)
Date of Call:</v>
          </cell>
          <cell r="D58" t="str">
            <v>FLORES ASQUI MARCELO ARMANDO</v>
          </cell>
          <cell r="E58">
            <v>37000</v>
          </cell>
          <cell r="F58">
            <v>37000</v>
          </cell>
          <cell r="G58" t="str">
            <v>Procurement process done by CCRJ through the procurement digital government system under method called Inverse Auction (Portal de Compras Públicas - Subasta Inversa). 
Five bids were received. Selection process went throughout two phases: The first was the technical selection and the second was the economic selection. If the technical phase is overcome, the process allows price bids.
The bid with the lowest price was selected. A saving of $13.913,33 aginst reference budget.</v>
          </cell>
          <cell r="H58">
            <v>0</v>
          </cell>
          <cell r="I58">
            <v>0</v>
          </cell>
        </row>
        <row r="59">
          <cell r="B59">
            <v>0</v>
          </cell>
          <cell r="C59">
            <v>0</v>
          </cell>
          <cell r="D59" t="str">
            <v>VAZQUEZ BUESTAN LUIS XAVIER</v>
          </cell>
          <cell r="E59">
            <v>37480</v>
          </cell>
          <cell r="F59">
            <v>0</v>
          </cell>
          <cell r="G59">
            <v>0</v>
          </cell>
          <cell r="H59">
            <v>0</v>
          </cell>
          <cell r="I59">
            <v>0</v>
          </cell>
        </row>
        <row r="60">
          <cell r="B60">
            <v>0</v>
          </cell>
          <cell r="C60" t="str">
            <v>CCRJ
Contracting of cement transportation for irrigation infraestructure in Tenta, Urdaneta, Guanazán and Girón parishes. 
Procurement Method: Smallest amount (Infima Cuantía)
Date of Call:</v>
          </cell>
          <cell r="D60" t="str">
            <v>LUIS ALBERTO VALDEZ MOLINA</v>
          </cell>
          <cell r="E60">
            <v>2768.5</v>
          </cell>
          <cell r="F60">
            <v>2768.5</v>
          </cell>
          <cell r="G60" t="str">
            <v>Procurement process done by CCRJ according national rules. CCRJ asked for quotes to at least 3 suppliers. The winner is the lowest price that complies with technical requirements</v>
          </cell>
          <cell r="H60">
            <v>0</v>
          </cell>
          <cell r="I60">
            <v>0</v>
          </cell>
        </row>
        <row r="61">
          <cell r="B61">
            <v>0</v>
          </cell>
          <cell r="C61">
            <v>0</v>
          </cell>
          <cell r="D61" t="str">
            <v xml:space="preserve">MESIAS VÁSQUEZ </v>
          </cell>
          <cell r="E61">
            <v>3522</v>
          </cell>
          <cell r="F61">
            <v>0</v>
          </cell>
          <cell r="G61">
            <v>0</v>
          </cell>
          <cell r="H61">
            <v>0</v>
          </cell>
          <cell r="I61">
            <v>0</v>
          </cell>
        </row>
        <row r="62">
          <cell r="B62">
            <v>0</v>
          </cell>
          <cell r="C62">
            <v>0</v>
          </cell>
          <cell r="D62" t="str">
            <v>BYRON ZHAGNAY</v>
          </cell>
          <cell r="E62">
            <v>3290.36</v>
          </cell>
          <cell r="F62">
            <v>0</v>
          </cell>
          <cell r="G62">
            <v>0</v>
          </cell>
          <cell r="H62">
            <v>0</v>
          </cell>
          <cell r="I62">
            <v>0</v>
          </cell>
        </row>
        <row r="63">
          <cell r="B63">
            <v>0</v>
          </cell>
          <cell r="C63" t="str">
            <v>CCRJ
Procurement of cement for irrigation infraestructure in Tenta, Urdaneta, Guanazán and Girón parishes. 
Procurement Method: Waiver - Special Regimen (Regimen Especial)
Date of Call: n/a</v>
          </cell>
          <cell r="D63" t="str">
            <v>UCEM</v>
          </cell>
          <cell r="E63">
            <v>10918.2</v>
          </cell>
          <cell r="F63">
            <v>10918.2</v>
          </cell>
          <cell r="G63" t="str">
            <v>Procurement process done by CCRJ through the procurement digital government system (Portal de Compras Públicas).
Contract signed by CCRJ according national rules. It is a public enterprise.</v>
          </cell>
          <cell r="H63">
            <v>0</v>
          </cell>
          <cell r="I63">
            <v>0</v>
          </cell>
        </row>
        <row r="64">
          <cell r="B64">
            <v>0</v>
          </cell>
          <cell r="C64" t="str">
            <v>CCRJ
Contracting of personal services to design irrigation infraestructure in Tenta, Urdaneta and Guanazán parishes. 
Procurement Method: Smallest amount (Infima Cuantía)
Date of Call:</v>
          </cell>
          <cell r="D64" t="str">
            <v>DELGADO VERDUGO PABLO LEONARDO</v>
          </cell>
          <cell r="E64">
            <v>7250</v>
          </cell>
          <cell r="F64">
            <v>7250</v>
          </cell>
          <cell r="G64" t="str">
            <v>Procurement process done by CCRJ according national rules. CCRJ asked for quotes to at least 3 suppliers. The winner is the lowest price that complies with technical requirements</v>
          </cell>
          <cell r="H64">
            <v>0</v>
          </cell>
          <cell r="I64">
            <v>0</v>
          </cell>
        </row>
        <row r="65">
          <cell r="B65">
            <v>0</v>
          </cell>
          <cell r="C65">
            <v>0</v>
          </cell>
          <cell r="D65" t="str">
            <v>LUIS VINTIMILLA</v>
          </cell>
          <cell r="E65">
            <v>12600</v>
          </cell>
          <cell r="F65">
            <v>0</v>
          </cell>
          <cell r="G65">
            <v>0</v>
          </cell>
          <cell r="H65">
            <v>0</v>
          </cell>
          <cell r="I65">
            <v>0</v>
          </cell>
        </row>
        <row r="66">
          <cell r="B66">
            <v>0</v>
          </cell>
          <cell r="C66">
            <v>0</v>
          </cell>
          <cell r="D66" t="str">
            <v>ZHIMINAICELA SUQUILANDA FRANKLIN</v>
          </cell>
          <cell r="E66">
            <v>23010</v>
          </cell>
          <cell r="F66">
            <v>0</v>
          </cell>
          <cell r="G66">
            <v>0</v>
          </cell>
          <cell r="H66">
            <v>0</v>
          </cell>
          <cell r="I66">
            <v>0</v>
          </cell>
        </row>
        <row r="67">
          <cell r="B67">
            <v>0</v>
          </cell>
          <cell r="C67" t="str">
            <v>CCRJ
Contracting of construction (workforce) of irrigation infraestructure in Tenta parish. 
Procurement Method: Smallest amount (Infima Cuantía)
Date of Call:</v>
          </cell>
          <cell r="D67" t="str">
            <v>JAPON MEDINA ANGEL POLIVIO</v>
          </cell>
          <cell r="E67">
            <v>3000</v>
          </cell>
          <cell r="F67">
            <v>2820</v>
          </cell>
          <cell r="G67" t="str">
            <v>Procurement process done by CCRJ according national rules. CCRJ asked for quotes to at least 3 suppliers. The winner is the lowest price that complies with technical requirements.</v>
          </cell>
          <cell r="H67">
            <v>0</v>
          </cell>
          <cell r="I67">
            <v>0</v>
          </cell>
        </row>
        <row r="68">
          <cell r="B68">
            <v>0</v>
          </cell>
          <cell r="C68">
            <v>0</v>
          </cell>
          <cell r="D68" t="str">
            <v>LAVANDA MOROCHO VICTOR</v>
          </cell>
          <cell r="E68">
            <v>3400</v>
          </cell>
          <cell r="F68">
            <v>0</v>
          </cell>
          <cell r="G68">
            <v>0</v>
          </cell>
          <cell r="H68">
            <v>0</v>
          </cell>
          <cell r="I68">
            <v>0</v>
          </cell>
        </row>
        <row r="69">
          <cell r="B69">
            <v>0</v>
          </cell>
          <cell r="C69">
            <v>0</v>
          </cell>
          <cell r="D69" t="str">
            <v>JAPON GUAYLLAS ANGEL</v>
          </cell>
          <cell r="E69">
            <v>2820</v>
          </cell>
          <cell r="F69">
            <v>0</v>
          </cell>
          <cell r="G69">
            <v>0</v>
          </cell>
          <cell r="H69">
            <v>0</v>
          </cell>
          <cell r="I69">
            <v>0</v>
          </cell>
        </row>
        <row r="70">
          <cell r="B70">
            <v>0</v>
          </cell>
          <cell r="C70" t="str">
            <v>CCRJ
Contracting of personal services to design irrigation infraestructure in Giron parish. 
Procurement Method: Smallest amount (Infima Cuantía)
Date of Call:</v>
          </cell>
          <cell r="D70" t="str">
            <v xml:space="preserve">LUIS ALBERTO VINTIMILLA </v>
          </cell>
          <cell r="E70">
            <v>2650</v>
          </cell>
          <cell r="F70">
            <v>2650</v>
          </cell>
          <cell r="G70" t="str">
            <v>Procurement process done by CCRJ according national rules. CCRJ asked for quotes to at least 3 suppliers. The winner is the lowest price that complies with technical requirements</v>
          </cell>
          <cell r="H70">
            <v>0</v>
          </cell>
          <cell r="I70">
            <v>0</v>
          </cell>
        </row>
        <row r="71">
          <cell r="B71">
            <v>0</v>
          </cell>
          <cell r="C71">
            <v>0</v>
          </cell>
          <cell r="D71" t="str">
            <v>DELGADO VERDUGO PABLO LEONARDO</v>
          </cell>
          <cell r="E71">
            <v>3150</v>
          </cell>
          <cell r="F71">
            <v>0</v>
          </cell>
          <cell r="G71">
            <v>0</v>
          </cell>
          <cell r="H71">
            <v>0</v>
          </cell>
          <cell r="I71">
            <v>0</v>
          </cell>
        </row>
        <row r="72">
          <cell r="B72">
            <v>0</v>
          </cell>
          <cell r="C72">
            <v>0</v>
          </cell>
          <cell r="D72" t="str">
            <v>RAUL NARVAEZ</v>
          </cell>
          <cell r="E72">
            <v>3000</v>
          </cell>
          <cell r="F72">
            <v>0</v>
          </cell>
          <cell r="G72">
            <v>0</v>
          </cell>
          <cell r="H72">
            <v>0</v>
          </cell>
          <cell r="I72">
            <v>0</v>
          </cell>
        </row>
        <row r="73">
          <cell r="B73">
            <v>0</v>
          </cell>
          <cell r="C73" t="str">
            <v>Procurement of goods to elaborate bio compost
Procurement Method: Invitation to Bid
Date of Call: October 30, 2015</v>
          </cell>
          <cell r="D73" t="str">
            <v>LA CASA DEL AGRICULTOR</v>
          </cell>
          <cell r="E73">
            <v>47870</v>
          </cell>
          <cell r="F73">
            <v>42063.45</v>
          </cell>
          <cell r="G73" t="str">
            <v>Procurement process done by WFP according to rules and regulations. WFP asked for quotes to at least 3 suppliers recommended by MAE and registered in its procurement system (In-tend). The bid of Agros Wil was invalidated due to change of prices The winner is the lowest price that complies with technical requirements.</v>
          </cell>
          <cell r="H73">
            <v>0</v>
          </cell>
          <cell r="I73">
            <v>0</v>
          </cell>
        </row>
        <row r="74">
          <cell r="B74">
            <v>0</v>
          </cell>
          <cell r="C74">
            <v>0</v>
          </cell>
          <cell r="D74" t="str">
            <v>AGROS WIL</v>
          </cell>
          <cell r="E74" t="str">
            <v>N/A</v>
          </cell>
          <cell r="F74">
            <v>0</v>
          </cell>
          <cell r="G74">
            <v>0</v>
          </cell>
          <cell r="H74">
            <v>0</v>
          </cell>
          <cell r="I74">
            <v>0</v>
          </cell>
        </row>
        <row r="75">
          <cell r="B75">
            <v>0</v>
          </cell>
          <cell r="C75">
            <v>0</v>
          </cell>
          <cell r="D75" t="str">
            <v>EF RIEGO</v>
          </cell>
          <cell r="E75">
            <v>42063.45</v>
          </cell>
          <cell r="F75">
            <v>0</v>
          </cell>
          <cell r="G75">
            <v>0</v>
          </cell>
          <cell r="H75">
            <v>0</v>
          </cell>
          <cell r="I75">
            <v>0</v>
          </cell>
        </row>
        <row r="76">
          <cell r="B76">
            <v>0</v>
          </cell>
          <cell r="C76" t="str">
            <v>* All bids done by MAE and CCRJ used national rules and regulations.</v>
          </cell>
          <cell r="D76">
            <v>0</v>
          </cell>
          <cell r="E76">
            <v>0</v>
          </cell>
          <cell r="F76">
            <v>0</v>
          </cell>
          <cell r="G76">
            <v>0</v>
          </cell>
          <cell r="H76">
            <v>0</v>
          </cell>
          <cell r="I76">
            <v>0</v>
          </cell>
        </row>
        <row r="77">
          <cell r="B77">
            <v>0</v>
          </cell>
          <cell r="C77" t="str">
            <v>** Intercoperation bidding process was reported in PPR 2014. The contract is closed but as the products were not submitted on time, there were a penalty fee of $5.241,43</v>
          </cell>
          <cell r="D77">
            <v>0</v>
          </cell>
          <cell r="E77">
            <v>0</v>
          </cell>
          <cell r="F77">
            <v>0</v>
          </cell>
          <cell r="G77">
            <v>0</v>
          </cell>
          <cell r="H77">
            <v>0</v>
          </cell>
          <cell r="I77">
            <v>0</v>
          </cell>
        </row>
        <row r="78">
          <cell r="B78">
            <v>0</v>
          </cell>
          <cell r="C78">
            <v>0</v>
          </cell>
          <cell r="D78">
            <v>0</v>
          </cell>
          <cell r="E78">
            <v>0</v>
          </cell>
          <cell r="F78">
            <v>0</v>
          </cell>
          <cell r="G78">
            <v>0</v>
          </cell>
          <cell r="H78">
            <v>0</v>
          </cell>
          <cell r="I78">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Results Tracker"/>
    </sheetNames>
    <sheetDataSet>
      <sheetData sheetId="0"/>
      <sheetData sheetId="1">
        <row r="146">
          <cell r="G146" t="str">
            <v>Community</v>
          </cell>
        </row>
        <row r="147">
          <cell r="G147" t="str">
            <v>Multi-community</v>
          </cell>
        </row>
        <row r="148">
          <cell r="G148" t="str">
            <v>Departmental</v>
          </cell>
        </row>
        <row r="149">
          <cell r="G149" t="str">
            <v>National</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rocurement"/>
      <sheetName val="Risk Assesment"/>
      <sheetName val="Rating"/>
      <sheetName val="Project Indicators"/>
      <sheetName val="Lessons Learned"/>
      <sheetName val="Results Tracker"/>
      <sheetName val="Units for Indicators"/>
      <sheetName val="Annex 1 Products"/>
      <sheetName val="Annex 2 Measures"/>
      <sheetName val="Annex 3 Media"/>
    </sheetNames>
    <sheetDataSet>
      <sheetData sheetId="0"/>
      <sheetData sheetId="1"/>
      <sheetData sheetId="2"/>
      <sheetData sheetId="3"/>
      <sheetData sheetId="4"/>
      <sheetData sheetId="5"/>
      <sheetData sheetId="6">
        <row r="146">
          <cell r="G146" t="str">
            <v>Community</v>
          </cell>
        </row>
        <row r="147">
          <cell r="G147" t="str">
            <v>Multi-community</v>
          </cell>
        </row>
        <row r="148">
          <cell r="G148" t="str">
            <v>Departmental</v>
          </cell>
        </row>
        <row r="149">
          <cell r="G149" t="str">
            <v>National</v>
          </cell>
        </row>
      </sheetData>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na de intervención"/>
      <sheetName val="Resumen Avance Medidas"/>
      <sheetName val="Tabla tipo de medida"/>
      <sheetName val="Tabla por faces"/>
      <sheetName val="Indicadore- Infor Dispon."/>
      <sheetName val="Hoja2"/>
    </sheetNames>
    <sheetDataSet>
      <sheetData sheetId="0" refreshError="1">
        <row r="8">
          <cell r="B8" t="str">
            <v>AZUAY</v>
          </cell>
          <cell r="E8" t="str">
            <v>Las Nieves</v>
          </cell>
          <cell r="J8">
            <v>200</v>
          </cell>
          <cell r="K8">
            <v>230</v>
          </cell>
          <cell r="L8">
            <v>42857.35</v>
          </cell>
          <cell r="T8">
            <v>1</v>
          </cell>
          <cell r="U8">
            <v>1</v>
          </cell>
          <cell r="W8">
            <v>41776</v>
          </cell>
          <cell r="Y8">
            <v>41775</v>
          </cell>
          <cell r="AC8">
            <v>1</v>
          </cell>
          <cell r="AD8">
            <v>1</v>
          </cell>
          <cell r="AE8">
            <v>1</v>
          </cell>
          <cell r="AF8">
            <v>1</v>
          </cell>
          <cell r="AG8">
            <v>1</v>
          </cell>
          <cell r="AS8" t="str">
            <v>En el mes de abril de 2017, se realiza el documento de convenio. En mayo 2017 se realiza las especificaciones técnicas del PFSC y visitas de campo para la validación de las mismas. El convenio se encuentra en Quito para su suscripción. Junio 2017 Reuniones para validación y presentacion del PFSC. Julio.- Legalización de documentos para presentar el PACC de la parroquia para su aval al MAE. Agosto, Coordinación para participación Festival de Saberes y Sabores en Saraguro Septiembre.- Organización con GAD para participación de beneficiarios en evento de Saraguro Octubre.- Socializaci{on PFSC</v>
          </cell>
        </row>
        <row r="9">
          <cell r="B9" t="str">
            <v>AZUAY</v>
          </cell>
          <cell r="D9" t="str">
            <v>MAE</v>
          </cell>
          <cell r="E9" t="str">
            <v>El Progreso</v>
          </cell>
          <cell r="J9">
            <v>276</v>
          </cell>
          <cell r="K9">
            <v>158</v>
          </cell>
          <cell r="L9">
            <v>69156.2</v>
          </cell>
          <cell r="T9">
            <v>1</v>
          </cell>
          <cell r="U9">
            <v>1</v>
          </cell>
          <cell r="W9">
            <v>42156</v>
          </cell>
          <cell r="Y9">
            <v>42277</v>
          </cell>
          <cell r="AC9">
            <v>1</v>
          </cell>
          <cell r="AD9">
            <v>1</v>
          </cell>
          <cell r="AE9">
            <v>1</v>
          </cell>
          <cell r="AF9">
            <v>1</v>
          </cell>
          <cell r="AG9" t="str">
            <v>1er trimestre 2018</v>
          </cell>
          <cell r="AS9" t="str">
            <v>En enero de 2017 no existieron actividades en la parroquia El Progreso. En el mes de febrero de 2017,  Taller de cierre técnico de medidas. Socializción de análisis de vulnerabilidad y plan de adaptación al cambio climático. En el mes de marzo de 2017, se entrega computadoras para estudiantes con el fin de fortalecer sus capacidades. En el mes de abril  de 2017 se ha trabajado en la socialización y validación de incentivos para realizara las especificaciones técnicas y plan de Fortalecimiento, sostenibilidad y cierre. En mayo se realizó la entrega de computadoras a la Unidad Educativa el Progreso como parte de los alicientes motivaconales y la elaboración del PFSC. Junio 2017 Reuniones para validación y presentacion del PFSC, segumiento a las zonas implementadas, prefocalización de familias para implementación del PFSC. Julio.- Elaboración informe trimestral, seguimiento y monitoreo de acciones implementadas.Agosto, Coordinación para participación Festival de Saberes y Sabores en Saraguro Septiembre.- Organización con GAD para participación de beneficiarios en evento de Saraguro Octubre.- Socialización del PFSC</v>
          </cell>
        </row>
        <row r="10">
          <cell r="B10" t="str">
            <v>AZUAY</v>
          </cell>
          <cell r="D10" t="str">
            <v>MAE</v>
          </cell>
          <cell r="E10" t="str">
            <v>Cabecera Cantonal Nabón</v>
          </cell>
          <cell r="J10">
            <v>950</v>
          </cell>
          <cell r="K10">
            <v>925</v>
          </cell>
          <cell r="L10">
            <v>84637.92</v>
          </cell>
          <cell r="T10">
            <v>1</v>
          </cell>
          <cell r="U10">
            <v>1</v>
          </cell>
          <cell r="W10">
            <v>42244</v>
          </cell>
          <cell r="Y10">
            <v>42299</v>
          </cell>
          <cell r="AC10">
            <v>1</v>
          </cell>
          <cell r="AD10">
            <v>1</v>
          </cell>
          <cell r="AE10">
            <v>1</v>
          </cell>
          <cell r="AF10">
            <v>1</v>
          </cell>
          <cell r="AG10" t="str">
            <v>1er trimestre 2018</v>
          </cell>
          <cell r="AS10" t="str">
            <v>En el mes de enero de 2017, revisión de informes trimestrales, socialización del sistema Monjas Aguarongo con cabildo y nuevas autoridades del sistema. Recorrido al sistema. Y contratación del consorcio Hydrotec para implementación. En el mes de febrero de 2017, Fiscalización de obra del sistema de riego Monjas Aguarongo. En el mes de marzo de 2017, Pruebas del sistema de riego Monjas Aguarongo y visita de la Lic. María Victoria Chiriboga, subsecretaria de cambio climático. En el mes de abril de 2017, Socialización y validación de incentivos para desarrollar las Especificaciones técnicas y planes de Fortalecimiento, Sostenibilidad y Cierre. En mayo 2017 se realizó la entrega e inauguración del Sistema de Riego Monjas Aguarongo, elaboración del PFSC.  Junio 2017, Prefocalización de familias para implementación del PFSC, seguimiento a medidas implementadas, validación y presentación del PRSC. Julio.- Elaboración de informe trimestral, seguimiento y monitoreo de acciones implementadas, taller de evaluación final. Agosto, Coordinación para participación Festival de Saberes y Sabores en Saraguro Septiembre.- Organización con GAD para participación de beneficiarios en evento de Saraguro Octubre.- Segumiento, monitoreo socailización del PFSC</v>
          </cell>
        </row>
        <row r="11">
          <cell r="B11" t="str">
            <v>AZUAY</v>
          </cell>
          <cell r="D11" t="str">
            <v>MAE</v>
          </cell>
          <cell r="E11" t="str">
            <v>Cochapata</v>
          </cell>
          <cell r="J11">
            <v>450</v>
          </cell>
          <cell r="K11">
            <v>450</v>
          </cell>
          <cell r="L11">
            <v>150675.81</v>
          </cell>
          <cell r="T11">
            <v>1</v>
          </cell>
          <cell r="U11">
            <v>1</v>
          </cell>
          <cell r="W11">
            <v>42461</v>
          </cell>
          <cell r="Y11">
            <v>42558</v>
          </cell>
          <cell r="AC11">
            <v>1</v>
          </cell>
          <cell r="AD11">
            <v>1</v>
          </cell>
          <cell r="AE11">
            <v>1</v>
          </cell>
          <cell r="AF11">
            <v>1</v>
          </cell>
          <cell r="AG11" t="str">
            <v>1er trimestre 2018</v>
          </cell>
          <cell r="AS11" t="str">
            <v xml:space="preserve"> En enero de 2017, Recorrido del sistema Zhincata Granadillas para verificación de obras, contratación del consorcio Hydrotech para la implementación.  Seguimiento a huertos. En el mes de febrero de 2017, fiscalización de obras de riego Zhincata - Granadillas, talleres en temas especificos de la medida, seguimiento y monitoreo de huertas. En el mes de marzo de 2017, Proceso de implementación del sistema Zhincata - Granadilla, taller de fruticultura y horticultura. Socialización de plan de adaptación al cambio climático y envio de resolución a MAE. En mayo se realizó la entrega e inauguración del Sistema de Riego Zhincata - Granadilla, elaboración del PFSC. Junio 2017.- Seguimiento a la infraestructura implementada, validación de acciones del PNRF y recorrido de campo para verificación de sitios para implementar las acciones del PFSC. Julio .- Elaboración informe trimestral, seguimiento y monitoreo de acciones implementadas, recorrdio del canal de riego Zhincata Granadillas para levantamiento de información, ajuste de PFSC y de especificaciones técnicas para implementación de acciones en cmpo. Septiembre.- Organización con GAD para participación de beneficiarios en evento de Saraguro, taller de culminación de medida, socialización del PFSC, visita de obras por parte de oficial de PMA Octubre.- Segumiento, monitoreo socailización del PFSC</v>
          </cell>
        </row>
        <row r="12">
          <cell r="B12" t="str">
            <v>AZUAY</v>
          </cell>
          <cell r="D12" t="str">
            <v>CCRJ</v>
          </cell>
          <cell r="E12" t="str">
            <v>Shaglly</v>
          </cell>
          <cell r="J12">
            <v>240</v>
          </cell>
          <cell r="K12">
            <v>170</v>
          </cell>
          <cell r="L12">
            <v>46220.25</v>
          </cell>
          <cell r="T12">
            <v>1</v>
          </cell>
          <cell r="U12">
            <v>1</v>
          </cell>
          <cell r="W12">
            <v>41821</v>
          </cell>
          <cell r="Y12">
            <v>41834</v>
          </cell>
          <cell r="AC12">
            <v>1</v>
          </cell>
          <cell r="AD12">
            <v>1</v>
          </cell>
          <cell r="AE12">
            <v>1</v>
          </cell>
          <cell r="AF12">
            <v>1</v>
          </cell>
          <cell r="AG12">
            <v>1</v>
          </cell>
          <cell r="AS12" t="str">
            <v>En el mes de marzo de 2017, se analiza la posibilidad de medida de adaptación. En el mes de abril de 2017, gestiones teléfonicas para fortalecer la medida de adaptación. En mayo 2017 eaboración de especificaciones técnicas del PFSC. El convenio se encuentra en Quito para su suscripción En Junio 2017.: Acercaciento para la presentación de PFSC. Julio,- Aprobación y firma de resolución del PACC por parte del consejo parroquial. Septiembre.- Organización y participación en Festival de Sabores y Saberes en Saraguro, calificación de ofertas de materiales e insumos para implementación del PFSC. Taller de socialización del PFSC en la comunidad de Bellavista Octubre.-  Socailización del PFSC</v>
          </cell>
        </row>
        <row r="13">
          <cell r="B13" t="str">
            <v>AZUAY</v>
          </cell>
          <cell r="D13" t="str">
            <v>MAE</v>
          </cell>
          <cell r="E13" t="str">
            <v>Abdón Calderón</v>
          </cell>
          <cell r="J13">
            <v>350</v>
          </cell>
          <cell r="K13">
            <v>350</v>
          </cell>
          <cell r="L13">
            <v>69267.199999999997</v>
          </cell>
          <cell r="T13">
            <v>1</v>
          </cell>
          <cell r="U13">
            <v>1</v>
          </cell>
          <cell r="W13">
            <v>42327</v>
          </cell>
          <cell r="Y13">
            <v>42375</v>
          </cell>
          <cell r="AC13">
            <v>1</v>
          </cell>
          <cell r="AD13">
            <v>1</v>
          </cell>
          <cell r="AE13">
            <v>1</v>
          </cell>
          <cell r="AF13">
            <v>1</v>
          </cell>
          <cell r="AG13" t="str">
            <v>1er trimestre 2018</v>
          </cell>
          <cell r="AS13" t="str">
            <v>En enero de 2017, Socialización de plan de adaptación y analisis de vulnerabilidad, elaboración de informe trimestral, levantamiento de líneas bases. Suscripción de adenda por parte del GAD, reuniones de trabajo para coordinar ficha ambiental y análisis de agua. En el mes de febrero de 2017, Socialización de Análisis de Vulnerabilidad y Plan de Adaptación al Cambio Climático, presentación de resolución y plan al Ministerio del Ambiente, gestiones con el GAD para cierre técnico de la medida, coordinación interinstitucional para visita del GAD Cañaribamba a la planta, elaboración de 48 lineas base de agua potable para comunidad y junta de agua, 48 encuestas de seguridad alimentaria elaboradas. Historia de vida para el PMA. En el mes de marzo de 2017, taller de evaluación y cierre de medida. Visita de la Subsecretaria de Cambio Climático. En el mes de abril de 2017, monitoreo y seguimiento de medida de adaptación al cambio climático, recorrido para identificar necesidad de fortalecimiento y sostenibilidad de la medida de adaptación implementada por el proyecto FORECCSA. Se participo el comite técnico local del Azuay. En mayo elaboración de especificaciones técnicas de Surupali Chico y entrega definitiva de planta de agua de potabilización de agua para consumo. El Plan de Adaptación se encuentra en Quito para aprobación del Ministro. Junio 2017.: Acercaciento para determinar acciones sobre el sistema de agua potable de Sulupali Chico. Julio,- Organización de feria de la caña. Agosto, Coordinación para participación Festival de Saberes y Sabores en Saraguro, Desarrollo de Feria de Saberes y Sabores Ancestrales Septiembre:- Organización y participación en Festival de Sabores y Saberes en Saraguro, calificación de ofertas para implementación del PFSC, Inspección tecnica de SENAGUA para verificación de construcción y funcionamiento de la planta de agua potable. Octubre.- Socailización del PFSC, desarrollo de taller de SENAGUA para dar lineamientos para legalizaci{on de Juntas, Proceso de aprobaci{on de reinversi{on de saldos del PFSC</v>
          </cell>
        </row>
        <row r="14">
          <cell r="B14" t="str">
            <v>AZUAY</v>
          </cell>
          <cell r="D14" t="str">
            <v>MAE</v>
          </cell>
          <cell r="E14" t="str">
            <v>El Carmen de Pijilí</v>
          </cell>
          <cell r="J14">
            <v>73</v>
          </cell>
          <cell r="K14">
            <v>73</v>
          </cell>
          <cell r="L14">
            <v>40638.83</v>
          </cell>
          <cell r="T14">
            <v>1</v>
          </cell>
          <cell r="U14">
            <v>1</v>
          </cell>
          <cell r="W14">
            <v>42675</v>
          </cell>
          <cell r="Y14">
            <v>42768</v>
          </cell>
          <cell r="AC14">
            <v>1</v>
          </cell>
          <cell r="AD14">
            <v>1</v>
          </cell>
          <cell r="AE14">
            <v>1</v>
          </cell>
          <cell r="AF14">
            <v>1</v>
          </cell>
          <cell r="AG14" t="str">
            <v>1er trimestre 2018</v>
          </cell>
          <cell r="AS14" t="str">
            <v>En enero de 2017, no han habido actividades en la parroquia en espera de los procesos de adquisición y firma de convenio. En febrero de 2017, socialización de análisis de vulnerabilidad y plan de adaptanción y envio al ministerio del ambiente.  Recepción de convenio para suscripción. Remisión de cuadros comparatibos para adquisiciones. En Marzo del 2017 se dispone el convenio firmado. En el mes de abril de 2017, se realizó la entrega de insumos. En mayo elaboración de especificaciones técnicas y  Plan de Fortalecimiento Sostenibilidad y Cierre. Junio 2017. Se remitió las líneas bases iniciales Julio. Elaboración informe trimestral  Coordinación para participación Festival de Saberes y Sabores en Saraguro Septiembre,- Organización para participación en eveno Saraguro Octubre.- Elaboración de informe trimestral, socializaci{on del PFSC.</v>
          </cell>
        </row>
        <row r="15">
          <cell r="B15" t="str">
            <v>AZUAY</v>
          </cell>
          <cell r="D15" t="str">
            <v>MAE</v>
          </cell>
          <cell r="E15" t="str">
            <v xml:space="preserve">Santa Isabel Cabecera cantonal
</v>
          </cell>
          <cell r="J15">
            <v>60</v>
          </cell>
          <cell r="K15">
            <v>60</v>
          </cell>
          <cell r="L15">
            <v>36542</v>
          </cell>
          <cell r="T15">
            <v>0</v>
          </cell>
          <cell r="U15">
            <v>0</v>
          </cell>
          <cell r="W15">
            <v>43024</v>
          </cell>
          <cell r="Y15" t="str">
            <v>1er trimestre 2018</v>
          </cell>
          <cell r="AC15" t="str">
            <v>1er Trimestre de 2018</v>
          </cell>
          <cell r="AD15" t="str">
            <v>1er Trimestre de 2018</v>
          </cell>
          <cell r="AE15" t="str">
            <v>1er Trimestre de 2018</v>
          </cell>
          <cell r="AF15" t="str">
            <v>1er Trimestre de 2018</v>
          </cell>
          <cell r="AG15" t="str">
            <v>2do Trimestre de 2018</v>
          </cell>
          <cell r="AS15" t="str">
            <v>Se realizará como caso piloto que capitalice la experiencia previas e innove la aplicación de los enfoques del Proyecto. Se planifica su implementación para el 2016-2017 y el cierre 2017. En febrero de 2017, acercamiento al GAD para definir la medida, y visita a planta de agua de Abdón Calderon. En marzo de 2017 en proceso de elaboración de la medida de San Salvador de Cañaribamba. El 19 de abril de 2017. El Gad Parroquial de Cañaribamba mediante oficio N° GAD-PQ-SSC-2017-48-E. manifiesta que no participará en el proyecto. Junio 2017.: Reuniones con el GAD de Santa Isabel para el diseño de nuevas medidas de adaptación. Julio.- Diseño de medida de adaptación a implementar Agosto, Coordinación para participación Festival de Saberes y Sabores en Saraguro Septiembre.- Proceso de levantamiento de información base de vulnerabilidades a Cambio climático, identificación de una medida de adaptación, Recorridos de campo para validación de especificaciones técnicas referente a riego y se fomentó un acercamineto de las juntas de agua con el Gobierno Provincial para complemento de obras. Septiembre,- Recopilación de doumentación para la aprobación de medidas de adaptación ane CDN, se conversó con Unidad de Riego del Gobierno Provincial para ver posibilidad de complementar las obras que se implementarán con el proyecto FORECCSA Octubre.- Proceso de solicitud de aprobación de medidas de adaptaci{on para Santa Isabel y Cañaribamba</v>
          </cell>
        </row>
        <row r="16">
          <cell r="B16" t="str">
            <v>AZUAY</v>
          </cell>
          <cell r="D16" t="str">
            <v>MAE</v>
          </cell>
          <cell r="E16" t="str">
            <v>Cañaribamba</v>
          </cell>
          <cell r="J16">
            <v>68</v>
          </cell>
          <cell r="K16">
            <v>68</v>
          </cell>
          <cell r="L16">
            <v>36651</v>
          </cell>
          <cell r="T16">
            <v>0</v>
          </cell>
          <cell r="U16">
            <v>0</v>
          </cell>
          <cell r="W16">
            <v>43024</v>
          </cell>
          <cell r="Y16" t="str">
            <v>1er trimestre 2018</v>
          </cell>
          <cell r="AC16" t="str">
            <v>1er Trimestre de 2018</v>
          </cell>
          <cell r="AD16" t="str">
            <v>1er Trimestre de 2018</v>
          </cell>
          <cell r="AE16" t="str">
            <v>1er Trimestre de 2018</v>
          </cell>
          <cell r="AF16" t="str">
            <v>1er Trimestre de 2018</v>
          </cell>
          <cell r="AG16" t="str">
            <v>2do Trimestre de 2018</v>
          </cell>
          <cell r="AS16" t="str">
            <v xml:space="preserve"> Octubre.- Proceso de solicitud de aprobación de medidas de adaptación para Santa Isabel y Cañaribamba</v>
          </cell>
        </row>
        <row r="17">
          <cell r="B17" t="str">
            <v>AZUAY</v>
          </cell>
          <cell r="D17" t="str">
            <v>MAE</v>
          </cell>
          <cell r="E17" t="str">
            <v xml:space="preserve">Cabecera Cantonal Girón
</v>
          </cell>
          <cell r="J17">
            <v>243</v>
          </cell>
          <cell r="K17">
            <v>243</v>
          </cell>
          <cell r="L17">
            <v>54526.879999999997</v>
          </cell>
          <cell r="T17">
            <v>1</v>
          </cell>
          <cell r="U17">
            <v>1</v>
          </cell>
          <cell r="W17">
            <v>42113</v>
          </cell>
          <cell r="Y17">
            <v>42712</v>
          </cell>
          <cell r="AC17">
            <v>1</v>
          </cell>
          <cell r="AD17" t="str">
            <v>2do trimestre 2017</v>
          </cell>
          <cell r="AE17">
            <v>1</v>
          </cell>
          <cell r="AF17">
            <v>1</v>
          </cell>
          <cell r="AG17" t="str">
            <v>1er trimestre 2018</v>
          </cell>
          <cell r="AS17" t="str">
            <v xml:space="preserve"> En enero de 2017, talleres de capacitación sobre uso y gestión de agua para riego comunitario. En febrero de 2017, reuniones de coordinación con técnicos de la Unidad de gestión ambiental para talleres. Visita técnica y recorrido al canal de Rircay para verificar las obras. En l mes de marzo de 2017 se han dictado los talleres de Agroforesteria con las comunidades de Leocapac y el Pongo. Taller de Silvopasturas en la comunidad Bellavista. En el mes de abril de 2017. Taller de cierre,  presentación de plan de adaptación de Cambio Climático al MAE, reuniones organizativas con el GADM. En mayo elaboración de especificaciones técnicas para el PFSC. Junio 2017. Gestiónes con el GAD para la presentación del PFSC. Julio.-  Aprobación y firma de resolución al PACC por el consejo cantonal. Agosto, Coordinación para participación Festival de Saberes y Sabores en Saraguro Septiembre.- Organización con GAD para participación de beneficiarios en evento de Saraguro Octubre.- Elaboración de informe trimestral</v>
          </cell>
        </row>
        <row r="18">
          <cell r="B18" t="str">
            <v>AZUAY</v>
          </cell>
          <cell r="D18" t="str">
            <v>CCRJ</v>
          </cell>
          <cell r="E18" t="str">
            <v>San Gerardo</v>
          </cell>
          <cell r="J18">
            <v>210</v>
          </cell>
          <cell r="K18">
            <v>105</v>
          </cell>
          <cell r="L18">
            <v>43710</v>
          </cell>
          <cell r="T18">
            <v>1</v>
          </cell>
          <cell r="U18">
            <v>1</v>
          </cell>
          <cell r="W18">
            <v>41776</v>
          </cell>
          <cell r="Y18">
            <v>41791</v>
          </cell>
          <cell r="AC18">
            <v>1</v>
          </cell>
          <cell r="AD18">
            <v>1</v>
          </cell>
          <cell r="AE18">
            <v>1</v>
          </cell>
          <cell r="AF18">
            <v>1</v>
          </cell>
          <cell r="AG18">
            <v>1</v>
          </cell>
          <cell r="AS18" t="str">
            <v>En febrero de 2017, reunión con el GAD para tratar asuntos de fortalecimiento, sostenibilidad e incentivo. En el mes de marzo de 2017, se realiza una inspección para realizar una nueva medida. En el mes de abril de 2017, se realiza coordinación con el GAD para identificar incentivos. En mayo 2017 elaboración y envío de las especificaciones técnicas para el PFSC. El convenio se encuentra en Quito para su suscripción Junio 2017. Socialización del Plan de Adaptación para aprobación y emision de la resolución por parte de la junta. Julio.- Coordinación con autoridades del GAD para participación de la feria en Saraguro  Agosto, Coordinación para participación Festival de Saberes y Sabores en Saraguro Septiembre.- Organización con GAD para participación de beneficiarios en evento de Saraguro Octubre.- Socializaci{on del PFSC.</v>
          </cell>
        </row>
        <row r="19">
          <cell r="B19" t="str">
            <v>AZUAY</v>
          </cell>
          <cell r="D19" t="str">
            <v>MAE</v>
          </cell>
          <cell r="E19" t="str">
            <v xml:space="preserve">La Asunción </v>
          </cell>
          <cell r="J19">
            <v>450</v>
          </cell>
          <cell r="K19">
            <v>450</v>
          </cell>
          <cell r="L19">
            <v>102687.75</v>
          </cell>
          <cell r="T19">
            <v>1</v>
          </cell>
          <cell r="U19">
            <v>1</v>
          </cell>
          <cell r="W19">
            <v>42180</v>
          </cell>
          <cell r="Y19">
            <v>42291</v>
          </cell>
          <cell r="AC19">
            <v>1</v>
          </cell>
          <cell r="AD19">
            <v>1</v>
          </cell>
          <cell r="AE19">
            <v>1</v>
          </cell>
          <cell r="AF19">
            <v>1</v>
          </cell>
          <cell r="AG19" t="str">
            <v>1er trimestre 2018</v>
          </cell>
          <cell r="AS19" t="str">
            <v>En el mes de enero de 2017. Socialización de Analisis de Vulnerabilidad y Plan de Adaptación. Obtención de resolución parroquial para presentación de plan de adaptación y Validación de informes trimestrales.En el mes de febrero de 2017, socialización de análisis de vulnerabilidad y plan de adaptación concluido y entregado, entrega de adenda de ampliación de convenio al GAD, reuniones técnicas con el GAD para cierre técnico de medida y contratación del promotor.En el mes de marzo de 2017 taller de evaluación de medidade adaptación. En el mes de abril de 2017, gestiones para identificar necesidades de fortalecimiento y sostenibilidad  en la parroquia. Se participo el comite técnico local del Azuay. Mayo 2017 elaboración y envío de especificaciones técnicas para el PFSC y el PFSC.  Junio 2017.: Socialización,  validación y presentación de PFSC. Julio.- Realización de talleres réplica de Camaren Agosto, Coordinación para participación Festival de Saberes y Sabores en Saraguro Septiembre.- Organización con GAD para participación de beneficiarios en evento de Saraguro Octubre.- Socialización del PFSC, elaboraci{on de informe trimestral</v>
          </cell>
        </row>
        <row r="20">
          <cell r="B20" t="str">
            <v>AZUAY</v>
          </cell>
          <cell r="D20" t="str">
            <v>CCRJ</v>
          </cell>
          <cell r="E20" t="str">
            <v>Chumblin</v>
          </cell>
          <cell r="J20">
            <v>200</v>
          </cell>
          <cell r="K20">
            <v>146</v>
          </cell>
          <cell r="L20">
            <v>43425.85</v>
          </cell>
          <cell r="T20">
            <v>1</v>
          </cell>
          <cell r="U20">
            <v>1</v>
          </cell>
          <cell r="W20">
            <v>41776</v>
          </cell>
          <cell r="Y20">
            <v>41771</v>
          </cell>
          <cell r="AC20">
            <v>1</v>
          </cell>
          <cell r="AD20">
            <v>1</v>
          </cell>
          <cell r="AE20">
            <v>1</v>
          </cell>
          <cell r="AF20">
            <v>1</v>
          </cell>
          <cell r="AG20">
            <v>1</v>
          </cell>
          <cell r="AS20" t="str">
            <v>En el mes de febrero de 2017, Acercamiento al GAD para plan de fortalecimiento y sostenibilidad de medidas. En el mes de marzo de 2017 reuniones para determinar la medida.  En el mes de abril de 2017, recorridos para visualizar la implementación de incentivos, gestiones a nivel técnico con el GAD. Se a identificado la necesidad de mejorar tres reservorios, instalación de tubería para conducción de agua para riego, se comprarán tuberías y accesorios para tres diferentes canales para el sistema de Pugo - Duda, Conzho. En mayo 2017 elaboración y envío de especificaciones técnicas para el PFSC. El convenio se encuentra en Quito para su suscripción Junio 2017.: Socialización,  validación y presentación de PFSC. Julio.- Aprobación y firma de resolución al PACC por parte del consejo parroquial. Agosto, Coordinación para participación Festival de Saberes y Sabores en Saraguro Septiembre.- Organización con GAD para participación de beneficiarios en evento de Saraguro Octubre.- Socializaci{on del PFSC</v>
          </cell>
        </row>
        <row r="21">
          <cell r="B21" t="str">
            <v>AZUAY</v>
          </cell>
          <cell r="D21" t="str">
            <v>MAE</v>
          </cell>
          <cell r="E21" t="str">
            <v>San Fernando Cabecera Cantonal</v>
          </cell>
          <cell r="J21">
            <v>1000</v>
          </cell>
          <cell r="K21">
            <v>1000</v>
          </cell>
          <cell r="L21">
            <v>67996.509999999995</v>
          </cell>
          <cell r="T21">
            <v>1</v>
          </cell>
          <cell r="U21">
            <v>1</v>
          </cell>
          <cell r="W21">
            <v>42244</v>
          </cell>
          <cell r="Y21">
            <v>42296</v>
          </cell>
          <cell r="AC21">
            <v>1</v>
          </cell>
          <cell r="AD21">
            <v>1</v>
          </cell>
          <cell r="AE21">
            <v>1</v>
          </cell>
          <cell r="AF21">
            <v>1</v>
          </cell>
          <cell r="AG21" t="str">
            <v>1er trimestre 2018</v>
          </cell>
          <cell r="AS21" t="str">
            <v>En enero de 2017, gestiones para instalación de instrumento de cloración Clorhid 90. Elaboración de informes trimestrales. En febrero de 2017, gestiones con el GAD para instalación de energía eléctrica para la planta, entrega de adenda de ampliación de plazo, gestiones con el GAD para continuidad de medida de adaptación (contratación del promotor), culminación del componente 2, elaboración de documentos para socialización de Análisis de vulnerabilidad y Plan de adaptación. En el mes de marzo de 2017, Visita de la Lic. María Victoria Chiriboga, subsecretaria de cambio climático. Gestiones varias para la implementación de planta de agua potable en la comunidad Yaguarcocha.  En el mes de abril de 2017, se participo el comite técnico local del Azuay. Reuniones con el GAD para definir actividades futuras. (adenda, contratación de promotor, plan de trabajo, presenteción del plan de adaptación al cambio climático, cierre técnico de la medida e instalación de energía eléctrica para culminar el componente 2). Mayo 2017 elaboración de especificaciones técnicas para el PFSC , prueba de funcionamiento de planta de potabilización de agua. La documentación para cierre y genereación de Plan de Adaptación se encuentra realizada. Junio 2017: Levantamiento de líneas bases de silvopasturas, gestiones para presentación del PFSC. Julio,- Realió el taller de culminación de la medida de adaptación. Agosto, Coordinación para participación Festival de Saberes y Sabores en Saraguro Septiembre.- Organización con GAD para participación de beneficiarios en evento de Saraguro Octubre.- Levantamientos de líneas base y socializaci{on del PFSC</v>
          </cell>
        </row>
        <row r="22">
          <cell r="B22" t="str">
            <v>AZUAY</v>
          </cell>
          <cell r="D22" t="str">
            <v>MAE</v>
          </cell>
          <cell r="E22" t="str">
            <v>Cabecera Cantonal Oña</v>
          </cell>
          <cell r="J22">
            <v>212</v>
          </cell>
          <cell r="K22">
            <v>212</v>
          </cell>
          <cell r="L22">
            <v>52915.94</v>
          </cell>
          <cell r="T22">
            <v>1</v>
          </cell>
          <cell r="U22">
            <v>1</v>
          </cell>
          <cell r="W22">
            <v>42262</v>
          </cell>
          <cell r="Y22">
            <v>42324</v>
          </cell>
          <cell r="AC22">
            <v>1</v>
          </cell>
          <cell r="AD22">
            <v>1</v>
          </cell>
          <cell r="AE22">
            <v>1</v>
          </cell>
          <cell r="AF22">
            <v>1</v>
          </cell>
          <cell r="AG22" t="str">
            <v>1er trimestre 2018</v>
          </cell>
          <cell r="AS22" t="str">
            <v xml:space="preserve"> En enero de 2017, validación de informe trimestral, seguimiento y monitoreo en áreas del proyecto y planificación de actividades con promotores. En el mes de marzo de 2017, monitoreo y seguimiento de medida de adaptación. En el mes de abril de 2017, Seguimiento y monitoreo a huertos, levantamiento de lineas base, socialización y validación de incentivos. En mayo se participó de la feria agropecuaria, artesanal y alimentaria por la parroquialización de Oña. Junio 2017, Prefocalización de familias para implementación del PFSC, seguimiento a medidas implementadas, Julio.- Elaboración de informe trimestral, segumiento y monitoreo de acciones impementadas. Agosto, Coordinación para participación Festival de Saberes y Sabores en Saraguro Septiembre.-  Organización con GAD para participación de beneficiarios en evento de Saraguro, taller de culminación de medida, socialización del PFSC, visita de obras por parte de oficial de PMA</v>
          </cell>
        </row>
        <row r="23">
          <cell r="B23" t="str">
            <v>AZUAY</v>
          </cell>
          <cell r="D23" t="str">
            <v>MAE</v>
          </cell>
          <cell r="E23" t="str">
            <v>Susudel</v>
          </cell>
          <cell r="J23">
            <v>480</v>
          </cell>
          <cell r="K23">
            <v>480</v>
          </cell>
          <cell r="L23">
            <v>44002.13</v>
          </cell>
          <cell r="T23">
            <v>1</v>
          </cell>
          <cell r="U23">
            <v>1</v>
          </cell>
          <cell r="W23">
            <v>42249</v>
          </cell>
          <cell r="Y23">
            <v>42285</v>
          </cell>
          <cell r="AC23">
            <v>1</v>
          </cell>
          <cell r="AD23">
            <v>1</v>
          </cell>
          <cell r="AE23">
            <v>1</v>
          </cell>
          <cell r="AF23">
            <v>1</v>
          </cell>
          <cell r="AG23" t="str">
            <v>1er trimestre 2018</v>
          </cell>
          <cell r="AS23" t="str">
            <v xml:space="preserve"> En enero de 2017, seguimiento y monitoreo a huertos. Validación de informe trimestral. Participación en evento de parroquialización. En el mes de febrero de 2017, Socialización de Análisis de vulnerabilidad y Plan de Adaptación al cambio climático, envio de resolución  al MAE, instalación de sistemas de riego parcelario. En el mes de marzo de 2017. Instalación de sistemas de riego, taller de cierre de medida, visita de la Lic. María Victoria Chiriboga, subsecretaria de cambio climático. En el mes de abril de 2017,  socialización y validación de incentivos, levantamiento de linea base,  Taller de cierre técnico de medida. En mayo se realiza las especificaciones técnicas del PFSC y la elaboración del plan. Junio 2017, Prefocalización de familias para implementación del PFSC, seguimiento a medidas implementadas. Julio,- Elaboración de informe trimestral, seguimiento y monitoreo de acciones implementadas. Agosto, Coordinación para participación Festival de Saberes y Sabores en Saraguro. Agosto, Coordinación para participación Festival de Saberes y Sabores en Saraguro Septiembre,-  Organización con GAD para participación de beneficiarios en evento de Saraguro.</v>
          </cell>
        </row>
        <row r="24">
          <cell r="B24" t="str">
            <v>AZUAY</v>
          </cell>
          <cell r="D24" t="str">
            <v>MAE</v>
          </cell>
          <cell r="E24" t="str">
            <v>San Rafael de Zharug</v>
          </cell>
          <cell r="J24">
            <v>230</v>
          </cell>
          <cell r="K24">
            <v>230</v>
          </cell>
          <cell r="L24">
            <v>56375.3</v>
          </cell>
          <cell r="T24">
            <v>1</v>
          </cell>
          <cell r="U24">
            <v>1</v>
          </cell>
          <cell r="W24">
            <v>42299</v>
          </cell>
          <cell r="Y24">
            <v>42377</v>
          </cell>
          <cell r="AC24">
            <v>1</v>
          </cell>
          <cell r="AD24">
            <v>1</v>
          </cell>
          <cell r="AE24">
            <v>1</v>
          </cell>
          <cell r="AF24">
            <v>1</v>
          </cell>
          <cell r="AG24" t="str">
            <v>1er trimestre 2018</v>
          </cell>
          <cell r="AS24" t="str">
            <v xml:space="preserve"> En el mes de enero de 2017, Reuniones con el GAD para dar seguimiento a los insumos. Informe trimestral de actividades. En febrero de 2017, Reuniones con el GAD para elaboración de encuestas de animales menores (entrega en 15 días), Socialización de analisis de vulnerabilidad y plan de adaptación al cambio climático y envio al Ministerio del Ambiente, elaboración y entrega al GAD de documentos habilitantes para continuidad de la medida de adaptación, monitoreo y seguimiento de la medida. En el mes de marzo de 2017, gestiones para coordinar acciones con el GAD parroquial. En el mes de abril de 2017 se realiza una visita para determinar la continuidad del GAD con el proyecto, traer documentos habilitantes pendientes, firma de informes trimestrales, planificación de taller de cierrer. se realizó el taller de cierre de medida. En mayo elaboración de especificaciones técnicas para el PFSC. Junio. El Municipio de Pucará asumió la ejecución de las medidas en la parroquia San Rafael de Sharug. Septiembre.- Seguimiento y monitoreo en las comunidades de Tullusiri y Huasipamba en la implementación de crianza de animales menores (cuyes), Organización y participación en Festival de Sabores y Saberes en Saraguro. </v>
          </cell>
        </row>
        <row r="25">
          <cell r="B25" t="str">
            <v>AZUAY</v>
          </cell>
          <cell r="D25" t="str">
            <v>MAE</v>
          </cell>
          <cell r="E25" t="str">
            <v>Cabecera Cantonal Pucará</v>
          </cell>
          <cell r="J25">
            <v>300</v>
          </cell>
          <cell r="K25">
            <v>60</v>
          </cell>
          <cell r="L25">
            <v>30795.54</v>
          </cell>
          <cell r="T25">
            <v>1</v>
          </cell>
          <cell r="U25">
            <v>1</v>
          </cell>
          <cell r="W25">
            <v>42675</v>
          </cell>
          <cell r="Y25">
            <v>42828</v>
          </cell>
          <cell r="AC25">
            <v>1</v>
          </cell>
          <cell r="AD25">
            <v>1</v>
          </cell>
          <cell r="AE25">
            <v>1</v>
          </cell>
          <cell r="AF25">
            <v>1</v>
          </cell>
          <cell r="AG25" t="str">
            <v>1er trimestre 2018</v>
          </cell>
          <cell r="AS25" t="str">
            <v>En el mes de abril de 2017, socialización de la medida,  entrega de materiales e inusmos, socialización  y validación de incentivos. En mayo se realiza las especificacioes técnicas del PFSC. Junio: Socialización y validación de PFSC, ajuste de especificaciones técnicas, recuperación de datos de la parroquia Sharuf para el PFSC. Julio: Participación cantonización de Pucará, elaboración de matriz trimestral, replanteo de la línea de consucción de canal de riego Manzanilla y San Miguel de las Palmeras, taller de socialización de proyecto FORECCSA y sus ejes transversales. Agosto, Coordinación para participación Festival de Saberes y Sabores en Saraguro. Septiembre.- Organización y  Participación Festival de Sabores y Saberes en Saraguro, inicio de trabajos en la costrucción del sistema de riego Manzanillas, culminación de mejoramiento de línea de conducción de agua de riego en San Miguel de las Palmeras con la construcción de 60 metros de celosía (paso de agua). Octubre.- Socialización del PFSC, seguimiento y monitoreo a la construcción del sistema de riego Manzanillas</v>
          </cell>
        </row>
        <row r="26">
          <cell r="B26" t="str">
            <v>AZUAY</v>
          </cell>
          <cell r="D26" t="str">
            <v>MAE</v>
          </cell>
          <cell r="E26" t="str">
            <v>Victoria del Portete</v>
          </cell>
          <cell r="J26">
            <v>37</v>
          </cell>
          <cell r="K26">
            <v>37</v>
          </cell>
          <cell r="L26">
            <v>8000</v>
          </cell>
          <cell r="T26">
            <v>0</v>
          </cell>
          <cell r="U26" t="str">
            <v>na</v>
          </cell>
          <cell r="W26">
            <v>42754</v>
          </cell>
          <cell r="Y26">
            <v>42906</v>
          </cell>
          <cell r="AC26">
            <v>1</v>
          </cell>
          <cell r="AD26" t="str">
            <v>na</v>
          </cell>
          <cell r="AE26">
            <v>1</v>
          </cell>
          <cell r="AF26">
            <v>1</v>
          </cell>
          <cell r="AG26" t="str">
            <v>1er trimestre 2018</v>
          </cell>
        </row>
        <row r="27">
          <cell r="B27" t="str">
            <v>EL ORO</v>
          </cell>
          <cell r="D27" t="str">
            <v>MAE</v>
          </cell>
          <cell r="E27" t="str">
            <v>Abañin</v>
          </cell>
          <cell r="J27">
            <v>230</v>
          </cell>
          <cell r="K27">
            <v>231</v>
          </cell>
          <cell r="L27">
            <v>57164.51</v>
          </cell>
          <cell r="T27">
            <v>1</v>
          </cell>
          <cell r="U27">
            <v>1</v>
          </cell>
          <cell r="W27">
            <v>42180</v>
          </cell>
          <cell r="Y27">
            <v>42284</v>
          </cell>
          <cell r="AC27">
            <v>1</v>
          </cell>
          <cell r="AD27">
            <v>1</v>
          </cell>
          <cell r="AE27">
            <v>1</v>
          </cell>
          <cell r="AF27">
            <v>1</v>
          </cell>
          <cell r="AG27" t="str">
            <v>1er trimestre 2018</v>
          </cell>
          <cell r="AS27" t="str">
            <v>En enero de 2017, monitoreo y seguimiento de la medida. En el mes de febrero 2017,  Socialización de Análisis de Vulnerabilidad y Plan de Adaptación al Cambio climático. Taller técnico de cierre de medida. Entrega de adenda. En el mes de abril de 2017 se elaboran las especificaciones técnicas para el incentivo, validación de materiales para el fortalecimiento y sostenibilidad de la medida. En mayo se elabora el Plan de Fortalecimiento Sostenibilidad y Cierre. Junio. Elaboración de carta de presentación de PFSC y seguimiento y monitoreo de medidas.Julio. Elaboración de informe trimestral, levantamiento de líneas bases de agua de consumo humano Agosto, Coordinación para participación Festival de Saberes y Sabores en Saraguro. Septiembre- Visita técnica de SENAGUA para determinar cumpimiento en cuanto a jurisdicción, objeto de la obra y situación legal de la junta administradora de agua en Ganacay. Octubre.- Elaboración del informe trimestral, participación de sesión solemne por aniverarsio de parroquialización.</v>
          </cell>
        </row>
        <row r="28">
          <cell r="B28" t="str">
            <v>EL ORO</v>
          </cell>
          <cell r="D28" t="str">
            <v>CCRJ</v>
          </cell>
          <cell r="E28" t="str">
            <v>Guanazán</v>
          </cell>
          <cell r="J28">
            <v>330</v>
          </cell>
          <cell r="K28">
            <v>295</v>
          </cell>
          <cell r="L28">
            <v>68234.83</v>
          </cell>
          <cell r="T28">
            <v>1</v>
          </cell>
          <cell r="U28">
            <v>1</v>
          </cell>
          <cell r="W28">
            <v>41926</v>
          </cell>
          <cell r="Y28">
            <v>41919</v>
          </cell>
          <cell r="AC28">
            <v>1</v>
          </cell>
          <cell r="AD28">
            <v>1</v>
          </cell>
          <cell r="AE28">
            <v>1</v>
          </cell>
          <cell r="AF28">
            <v>1</v>
          </cell>
          <cell r="AG28">
            <v>1</v>
          </cell>
          <cell r="AS28" t="str">
            <v>En el mes de abril de 2017, se han elaborado las especificaciones técnicas para el plan de fortalecimiento y sostenibilidad.  Mayo 2017 Se elabora el plan de fortalecimiento sostenibilidad y cierre, el convenio se encuentra en Quito para su suscripción. Junio Presentación para aprobación de PFSC al Director Nacional de CC. Julio.-  Elaboraición de resolución de aprobación de Plan de Adaptación parroquial y solicitud de aval al mismo Agosto, Coordinación para participación Festival de Saberes y Sabores en Saraguro, Septiembre-  Coordinación para participación Festival de Saberes y Sabores en Saraguro,</v>
          </cell>
        </row>
        <row r="29">
          <cell r="B29" t="str">
            <v>EL ORO</v>
          </cell>
          <cell r="D29" t="str">
            <v>MAE</v>
          </cell>
          <cell r="E29" t="str">
            <v>Cabecera Cantonal Zaruma</v>
          </cell>
          <cell r="L29">
            <v>0</v>
          </cell>
          <cell r="T29">
            <v>0</v>
          </cell>
          <cell r="U29">
            <v>0</v>
          </cell>
          <cell r="Y29">
            <v>0</v>
          </cell>
          <cell r="AC29">
            <v>0</v>
          </cell>
          <cell r="AD29">
            <v>0</v>
          </cell>
          <cell r="AE29">
            <v>0</v>
          </cell>
          <cell r="AF29">
            <v>0</v>
          </cell>
          <cell r="AG29">
            <v>0</v>
          </cell>
          <cell r="AS29" t="str">
            <v>En enero de 2017, acercamiento al GAD parroquial para el diseño de la medida. En el mes de febrero de 2017, gestiones con e GAD de Zaruma para analizar la factibilidad de implementación de medida en la cabecera cantonal. Informe técnico del GAD de Zaruma, con oficio solicitando se fortalezca medidas en las parroquias rurales de Abañin, Guanazán y Sinsao.</v>
          </cell>
        </row>
        <row r="30">
          <cell r="B30" t="str">
            <v>EL ORO</v>
          </cell>
          <cell r="D30" t="str">
            <v>MAE</v>
          </cell>
          <cell r="E30" t="str">
            <v>Sinsao</v>
          </cell>
          <cell r="L30">
            <v>0</v>
          </cell>
          <cell r="T30">
            <v>0</v>
          </cell>
          <cell r="U30">
            <v>0</v>
          </cell>
          <cell r="Y30">
            <v>0</v>
          </cell>
          <cell r="AC30">
            <v>0</v>
          </cell>
          <cell r="AD30">
            <v>0</v>
          </cell>
          <cell r="AE30">
            <v>0</v>
          </cell>
          <cell r="AF30">
            <v>0</v>
          </cell>
          <cell r="AG30">
            <v>0</v>
          </cell>
          <cell r="AS30" t="str">
            <v>En enero de 2017, acercamiento al GAD parroquial para el diseño de la medida. En el mes de febrero de 2017, gestión de información para analizar la factibilidad de implementar la medida en la zona. En la parroquia no se ejecutará una medida de adaptación, existe un comunicado N°001-2017, en donde el GAD parroquial menifiesta su interés en no participar de las acciones del proyecto FORECCSA.</v>
          </cell>
        </row>
        <row r="31">
          <cell r="B31" t="str">
            <v>EL ORO</v>
          </cell>
          <cell r="D31" t="str">
            <v>MAE</v>
          </cell>
          <cell r="E31" t="str">
            <v>Cabecera Cantonal Chilla</v>
          </cell>
          <cell r="J31">
            <v>355</v>
          </cell>
          <cell r="K31">
            <v>355</v>
          </cell>
          <cell r="L31">
            <v>75649.289999999994</v>
          </cell>
          <cell r="T31">
            <v>1</v>
          </cell>
          <cell r="U31">
            <v>1</v>
          </cell>
          <cell r="W31">
            <v>42275</v>
          </cell>
          <cell r="Y31">
            <v>42356</v>
          </cell>
          <cell r="AC31">
            <v>1</v>
          </cell>
          <cell r="AD31">
            <v>1</v>
          </cell>
          <cell r="AE31">
            <v>1</v>
          </cell>
          <cell r="AF31">
            <v>1</v>
          </cell>
          <cell r="AG31" t="str">
            <v>1er trimestre 2018</v>
          </cell>
          <cell r="AS31" t="str">
            <v>En el mes de enero de 2017,revisión y entrega de documentos de línea base.  En el mes de febrero de 2017, no hubo seguimiento en el GADM de Chilla. Se desarrolló eventos de capactación en manejo de frutales durante el mes de marzo; además se dispone del informe trimestral Enero-Marzo 2017. En el mes de abril de 2017 se obtuvo la resolución y se presentó el plan de adaptación al Cambio Climático al Ministero del Ambiente. En mayo se realiza las especificaciones técnicas y el PFSC.  Junio 2017: Serguimiento y monitoreo de medidas, informe trimestral, validación y presentación del PFSC, entrega de insumos a beneficiarios. Julio.- Participación evento de cantonozación, elaboración de informe trimestral, levantamiento de historia de vida. Agosto, Coordinación para participación Festival de Saberes y Sabores en Saraguro, Septiembre,- Taller de capacitación en abonos orgánicos, seguimiento y monitoreo de parcelas agroforestales. Participación en Festival de Saberes y Sabores en Saraguro. Octubre.- Socialización del PFSC cantonal, taller de culminación de la medida,</v>
          </cell>
        </row>
        <row r="32">
          <cell r="B32" t="str">
            <v>EL ORO</v>
          </cell>
          <cell r="D32" t="str">
            <v>MAE</v>
          </cell>
          <cell r="E32" t="str">
            <v>Cabecera Cantonal Pasaje</v>
          </cell>
          <cell r="J32">
            <v>285</v>
          </cell>
          <cell r="K32">
            <v>168</v>
          </cell>
          <cell r="L32">
            <v>40692.69</v>
          </cell>
          <cell r="T32">
            <v>1</v>
          </cell>
          <cell r="U32">
            <v>1</v>
          </cell>
          <cell r="W32">
            <v>42698</v>
          </cell>
          <cell r="Y32">
            <v>42719</v>
          </cell>
          <cell r="AC32">
            <v>1</v>
          </cell>
          <cell r="AD32">
            <v>1</v>
          </cell>
          <cell r="AE32">
            <v>1</v>
          </cell>
          <cell r="AF32">
            <v>1</v>
          </cell>
          <cell r="AG32" t="str">
            <v>1er trimestre 2018</v>
          </cell>
          <cell r="AS32" t="str">
            <v xml:space="preserve"> En el mes de enero de 2017, Taller de género con equipo técnico de aguapas; en el mes de febrero se ha avanzado con la socialización del plan de adaptación, además la alcaldía ha generado un oficio solicitando el aval al plan de adaptación ante el ministerio. Durante el mes de marzo se ha realizado la firma del convenio por parte de la DNCC y Alcaldía. En el mes de abril de 2017, entrega de insumos, se esta elaborando el plan de fortalecimiento, sostenibilidad y cierre, también se han realizado las especificaciones técnicas Mayo 2017 Elaboración del Plan de Fortalecimiento Sostenibilidad y Cierre. Junio 2017. Levantamiento de líneas bases de agua de consumo humano y seguridad alimentaria, capacitaciones de CC, SAN y Género  julio. Conclusión de obra física de conducción de agua potable para el sector del Cangrejo Agosto, Coordinación para participación Festival de Saberes y Sabores en Saraguro. Septiembre Se concluyó el sistema de distribución de agua para el sector del Cangrejo y San Antonio de Chaguana, coordinación para participación en Festival de Sabores y Saberes.</v>
          </cell>
        </row>
        <row r="33">
          <cell r="B33" t="str">
            <v>EL ORO</v>
          </cell>
          <cell r="D33" t="str">
            <v>MAE</v>
          </cell>
          <cell r="E33" t="str">
            <v xml:space="preserve">Casacay </v>
          </cell>
          <cell r="J33">
            <v>857</v>
          </cell>
          <cell r="K33">
            <v>128</v>
          </cell>
          <cell r="L33">
            <v>30000</v>
          </cell>
          <cell r="T33">
            <v>1</v>
          </cell>
          <cell r="U33">
            <v>1</v>
          </cell>
          <cell r="W33">
            <v>42688</v>
          </cell>
          <cell r="Y33">
            <v>42782</v>
          </cell>
          <cell r="AC33">
            <v>1</v>
          </cell>
          <cell r="AD33">
            <v>1</v>
          </cell>
          <cell r="AE33">
            <v>1</v>
          </cell>
          <cell r="AF33" t="str">
            <v>4to trimestre 2017</v>
          </cell>
          <cell r="AG33" t="str">
            <v>1er trimestre 2018</v>
          </cell>
          <cell r="AS33" t="str">
            <v>En enero de 2017, Inducción de promotora en manejo de líneas bases. Coordinación para la Socialización de Análisis de vulnerabilidad y plan de adaptación. En el mes de febrero de 2017, se socializa el Análsis de Vulnerabilidad y plan de Adaptación al Cambio Climáitico, levantamiento de línea base. durante el mes de marzo, se ha realizado el arranque de la medida, socialiación del plan de adaptación, socialización de la medida a las comunidades, además se ha realizado la entrega de materiales y accesorios para el mejoramiento de sistemas de agua de consumo y riego, además se dispone del informe trimestral y plan de trabajo. En el mes de abril de 2017, validación de propuesta de fortalecimiento y sostenibilidad. Seguimiento y monitoreo de la medida. En mayo se realiza las especificaciones técnicas y el Plan de Fortalecimiento Sostenibilidad y Cierre. Junio Socialización de la medida y PFC, seguimiento y monitoreo. Julio.- Seguimiento y monitoreo de medida, elaboración informe trimestral, elaboración de fichas de monitoreo. Agosto, Coordinación para participación Festival de Saberes y Sabores en Saraguro. Septiembre.-   Socialización del PFSC con técnicos de los GADS, implementación de un kit de cloración en la comunidad de Quera. Participación en Festival de Saberes y Sabores en Saraguro. Reunión con drigentes de agua de riego y consumo para realiar diagnóstico de SENAGUA frente a su legalización, mantenimiento, etc. Octubre.- Socialización del PFSC, seguimiento y monitoreo de sistema de riego San Benito. Participación en sesión solemne por los 31 años de parroquialización,</v>
          </cell>
        </row>
        <row r="34">
          <cell r="B34" t="str">
            <v>EL ORO</v>
          </cell>
          <cell r="D34" t="str">
            <v>MAE</v>
          </cell>
          <cell r="E34" t="str">
            <v>Caña Quemada</v>
          </cell>
          <cell r="J34">
            <v>150</v>
          </cell>
          <cell r="K34">
            <v>150</v>
          </cell>
          <cell r="L34">
            <v>36706.93</v>
          </cell>
          <cell r="T34">
            <v>1</v>
          </cell>
          <cell r="U34">
            <v>1</v>
          </cell>
          <cell r="W34">
            <v>42572</v>
          </cell>
          <cell r="Y34">
            <v>42569</v>
          </cell>
          <cell r="AC34">
            <v>1</v>
          </cell>
          <cell r="AD34">
            <v>1</v>
          </cell>
          <cell r="AE34">
            <v>1</v>
          </cell>
          <cell r="AF34">
            <v>1</v>
          </cell>
          <cell r="AG34" t="str">
            <v>1er trimestre 2018</v>
          </cell>
          <cell r="AS34" t="str">
            <v xml:space="preserve">En enero de 2017, Entrega de insumos, taller de capacitación en agroforesteria y crianza animal. En el mes de febrero de 2017, monitoreo y seguimiento de huertos, Historia de vida de co ejecutor. Entrega de líneas base. En marzo se dispone del informe trimestral, además se ha realizado la socialización del plan de adaptación. En el mes de abril de 2017, socialización y validación de propuesta de fortalecimeinto y sostenibilidad. Mayo 2017 Elaboración de especificaciones técnicas y el Plan de Fortalecimiento Sostenibilidad y Cierre. Junio 2017: Presentación de carta para aprobación de PFSC, conclusión de talleres de capacitación incluidos los de la medida, se trabaja en la elaboración del informe trimestral.Julio. Elaboración de informe de cierre, solicitan la adenda del convenio para la implementación del PFSC Agosto, Coordinación para participación Festival de Saberes y Sabores en Saraguro, Septiembre.-  Se ha realizó el taller de culminación de la medida, se solicitó la adenda al convenio ante el MAE, elaboración del informe trimestral del GAD. Participación en el Festival de Sabores y Saberes en Saraguro. </v>
          </cell>
        </row>
        <row r="35">
          <cell r="B35" t="str">
            <v>EL ORO</v>
          </cell>
          <cell r="D35" t="str">
            <v>MAE</v>
          </cell>
          <cell r="E35" t="str">
            <v>Uzhcurrumi</v>
          </cell>
          <cell r="J35">
            <v>340</v>
          </cell>
          <cell r="K35">
            <v>365</v>
          </cell>
          <cell r="L35">
            <v>93500</v>
          </cell>
          <cell r="T35">
            <v>1</v>
          </cell>
          <cell r="U35">
            <v>1</v>
          </cell>
          <cell r="W35">
            <v>42487</v>
          </cell>
          <cell r="Y35">
            <v>42564</v>
          </cell>
          <cell r="AC35">
            <v>1</v>
          </cell>
          <cell r="AD35">
            <v>1</v>
          </cell>
          <cell r="AE35">
            <v>1</v>
          </cell>
          <cell r="AF35" t="str">
            <v>4to trimestre 2017</v>
          </cell>
          <cell r="AG35" t="str">
            <v>1er trimestre 2018</v>
          </cell>
          <cell r="AS35" t="str">
            <v xml:space="preserve"> En el mes de enero de 2017, Seguimiento y monitoreo a medida. Asistir al evento de parroquialización de Uzhcurrumi. En el mes de febrero de 2017, Seguimiento y monitoreo de la medida. Socialización de Análisis de vulnerabilidad y plan de Adaptación al Cambio climático. Levantamiento de líneas base. Durante el mes de marzo se realizó seguimiento y monitoreo, además se elaboró el informe trimestral enero-marzo. En el mes de abril socializacón y validación de propuesta de fortalecimiento y sostenibilidad. En mayo elaboración de especificaciones técnicas para el PFSC.  Junio: Entrega de insumos, presentación del PFSC. Julio. Elaboración de informe trimestral, identificación de sitios de intervención para protección de fuentes hídricas, levantamiento de líneas bases de la tipología ecosistemas. Agosto, Coordinación para participación Festival de Saberes y Sabores en Saraguro, Septiembre.-  Reunión con drigentes de agua de riego y consumo para realiar diagnóstico de SENAGUA frente a su legalización, msntenimiento, etc. Seguimiento y monitoreo de los canales de riego, instalación de tres kits de cloración. Octubre.-  Socialización del PFSC, seguimiento y monitoreo del canal Carabota y Cucho.</v>
          </cell>
        </row>
        <row r="36">
          <cell r="B36" t="str">
            <v>LOJA</v>
          </cell>
          <cell r="D36" t="str">
            <v>CCRJ</v>
          </cell>
          <cell r="E36" t="str">
            <v>San Pablo de Tenta</v>
          </cell>
          <cell r="J36">
            <v>204</v>
          </cell>
          <cell r="K36">
            <v>206</v>
          </cell>
          <cell r="L36">
            <v>80403.97</v>
          </cell>
          <cell r="T36">
            <v>1</v>
          </cell>
          <cell r="U36">
            <v>1</v>
          </cell>
          <cell r="W36">
            <v>41821</v>
          </cell>
          <cell r="Y36">
            <v>41913</v>
          </cell>
          <cell r="AC36">
            <v>1</v>
          </cell>
          <cell r="AD36">
            <v>1</v>
          </cell>
          <cell r="AE36">
            <v>1</v>
          </cell>
          <cell r="AF36">
            <v>1</v>
          </cell>
          <cell r="AG36">
            <v>1</v>
          </cell>
          <cell r="AS36" t="str">
            <v>Abril de 2017, elaboración de especificaciones técnicas para el plan de fortalecimiento, sostenibilidad y cierre. Mayo 2017 Elaboración del plan de fortalecimiento, sostenibilidad y cierre. El convenio se encuentra en Quito para su suscripción. Junio 2017. Acercamiento y reunión con presidente del GAD para socializar el PFSC. Julio. Elaboración de informes trimestrales Agosto, Coordinación para participación Festival de Saberes y Sabores en Saraguro Septiembre,-  Organización con GAD para participación de beneficiarios en evento de Saraguro, taller de culminación de medida, socialización del PFSC, visita de obras por parte de oficial de PMA</v>
          </cell>
        </row>
        <row r="37">
          <cell r="B37" t="str">
            <v>LOJA</v>
          </cell>
          <cell r="D37" t="str">
            <v>MAE</v>
          </cell>
          <cell r="E37" t="str">
            <v>Lluzhapa</v>
          </cell>
          <cell r="J37">
            <v>320</v>
          </cell>
          <cell r="K37">
            <v>320</v>
          </cell>
          <cell r="L37">
            <v>90975.21</v>
          </cell>
          <cell r="T37">
            <v>1</v>
          </cell>
          <cell r="U37">
            <v>1</v>
          </cell>
          <cell r="W37">
            <v>42163</v>
          </cell>
          <cell r="Y37">
            <v>42305</v>
          </cell>
          <cell r="AC37">
            <v>1</v>
          </cell>
          <cell r="AD37">
            <v>1</v>
          </cell>
          <cell r="AE37">
            <v>1</v>
          </cell>
          <cell r="AF37">
            <v>1</v>
          </cell>
          <cell r="AG37" t="str">
            <v>1er trimestre 2018</v>
          </cell>
          <cell r="AS37" t="str">
            <v>En enero de 2017, monitoreo y seguimiento de la medida. o) En el mes de febrero de 2017, seguimiento y monitoreo de medidas. p)En el mes de marzo de 2017, seguimiento de las obras de riego, entrega de válvula al GAD parroquial. Abril 2017 Especificaciones técnicas del plan de fotalecimiento, seguimiento y monitoreo de las zonas de riego. Mayo 2017 Elaboración del plan de fortalecimiento, sostenibilidad y cierre. Junio 2017 Socialización , validación y firma de aprobación del Plan de fortalecimiento, sostenibilidad y cierre PFSC  Julio. Elaboración de informes trimestralesAgosto, Coordinación para participación Festival de Saberes y Sabores en Saraguro Septiembre,-  Organización con GAD para participación de beneficiarios en evento de Saraguro, taller de culminación de medida, socialización del PFSC, visita de obras por parte de oficial de PMA</v>
          </cell>
        </row>
        <row r="38">
          <cell r="B38" t="str">
            <v>LOJA</v>
          </cell>
          <cell r="D38" t="str">
            <v>CCRJ</v>
          </cell>
          <cell r="E38" t="str">
            <v>Urdaneta</v>
          </cell>
          <cell r="J38">
            <v>271</v>
          </cell>
          <cell r="K38">
            <v>252</v>
          </cell>
          <cell r="L38">
            <v>57483.01</v>
          </cell>
          <cell r="T38">
            <v>1</v>
          </cell>
          <cell r="U38">
            <v>1</v>
          </cell>
          <cell r="W38">
            <v>41926</v>
          </cell>
          <cell r="Y38">
            <v>41913</v>
          </cell>
          <cell r="AC38">
            <v>1</v>
          </cell>
          <cell r="AD38">
            <v>1</v>
          </cell>
          <cell r="AE38">
            <v>1</v>
          </cell>
          <cell r="AF38">
            <v>1</v>
          </cell>
          <cell r="AG38">
            <v>1</v>
          </cell>
          <cell r="AS38" t="str">
            <v>Mayo 2017: Elaboración de especificaciones tecnicas y Plan de fortalecimiento sostenibilidad y cierre de la medida. El convenio se encuentra en Quito para su suscripción.  Junio 2017. Acercamiento y reuniones con presidente del GAD parroquial para socializar el PFSC. Julio. Elaboración de informes trimestrales Agosto, Coordinación para participación Festival de Saberes y Sabores en Saraguro Septiembre,-  Organización con GAD para participación de beneficiarios en evento de Saraguro, taller de culminación de medida, socialización del PFSC, visita de obras por parte de oficial de PMA</v>
          </cell>
        </row>
        <row r="39">
          <cell r="B39" t="str">
            <v>LOJA</v>
          </cell>
          <cell r="D39" t="str">
            <v>MAE</v>
          </cell>
          <cell r="E39" t="str">
            <v xml:space="preserve">Cumbe </v>
          </cell>
          <cell r="J39">
            <v>224</v>
          </cell>
          <cell r="K39">
            <v>190</v>
          </cell>
          <cell r="L39">
            <v>59825.73</v>
          </cell>
          <cell r="T39">
            <v>1</v>
          </cell>
          <cell r="U39">
            <v>1</v>
          </cell>
          <cell r="W39">
            <v>42180</v>
          </cell>
          <cell r="Y39">
            <v>42328</v>
          </cell>
          <cell r="AC39">
            <v>1</v>
          </cell>
          <cell r="AD39">
            <v>1</v>
          </cell>
          <cell r="AE39">
            <v>1</v>
          </cell>
          <cell r="AF39">
            <v>1</v>
          </cell>
          <cell r="AG39" t="str">
            <v>1er trimestre 2018</v>
          </cell>
          <cell r="AS39" t="str">
            <v>En el mes de febrero de 2017, planificación de cierre k)En el mes de marzo de 2017 se realizo el taller de cierre de la medida, Abril de 2017 Definición y  Elaboracion de especificaciones técnicas y Planes de Fortalecimiento Sostenibilidad y Cierre. Mayo 2017 Elaboración del plan de fortalecimiento, sostenibilidad y cierre. Junio 2017 Socialización , validación y firma de aprobación del Plan de fortalecimiento, sostenibilidad y cierre PFSC Julio. Elaboración de informes trimestrales Agosto, Coordinación para participación Festival de Saberes y Sabores en Saraguro Septiembre,-  Organización con GAD para participación de beneficiarios en evento de Saraguro, taller de culminación de medida, socialización del PFSC, visita de obras por parte de oficial de PMA</v>
          </cell>
        </row>
        <row r="40">
          <cell r="B40" t="str">
            <v>LOJA</v>
          </cell>
          <cell r="D40" t="str">
            <v>MAE</v>
          </cell>
          <cell r="E40" t="str">
            <v>El Tablón</v>
          </cell>
          <cell r="J40">
            <v>270</v>
          </cell>
          <cell r="K40">
            <v>225</v>
          </cell>
          <cell r="L40">
            <v>61120.4</v>
          </cell>
          <cell r="T40">
            <v>1</v>
          </cell>
          <cell r="U40">
            <v>1</v>
          </cell>
          <cell r="W40">
            <v>42163</v>
          </cell>
          <cell r="Y40">
            <v>42256</v>
          </cell>
          <cell r="AC40">
            <v>1</v>
          </cell>
          <cell r="AD40">
            <v>1</v>
          </cell>
          <cell r="AE40">
            <v>1</v>
          </cell>
          <cell r="AF40">
            <v>1</v>
          </cell>
          <cell r="AG40" t="str">
            <v>1er trimestre 2018</v>
          </cell>
          <cell r="AS40" t="str">
            <v>En enero de 2017, Obtención de la resolución. En el mes de febrero de 2017. Instalación de dispositivo antiheladas.  En el mes de marzo de 2017. En espera de los insumos. Abril 2017  Elaboracion de especificaciones técnicas y Planes de Fortalecimiento Sostenibilidad y Cierre. Mayo 2017 Elaboración del plan de fortalecimiento, sostenibilidad y cierre. Junio 2017 Socialización , validación y firma de aprobación del Plan de fortalecimiento, sostenibilidad y cierre PFSC. Recorrido de seguimiento y monitoreo de los insumos entregados en la propuesta de inversión de saldos. Julio. Elaboración de informes trimestrales Agosto, Coordinación para participación Festival de Saberes y Sabores en Saraguro Septiembre,-  Organización con GAD para participación de beneficiarios en evento de Saraguro, taller de culminación de medida, socialización del PFSC, visita de obras por parte de oficial de PMA</v>
          </cell>
        </row>
        <row r="41">
          <cell r="B41" t="str">
            <v>LOJA</v>
          </cell>
          <cell r="D41" t="str">
            <v>MAE</v>
          </cell>
          <cell r="E41" t="str">
            <v>Sumaypamba</v>
          </cell>
          <cell r="J41">
            <v>300</v>
          </cell>
          <cell r="K41">
            <v>300</v>
          </cell>
          <cell r="L41">
            <v>76213.440000000002</v>
          </cell>
          <cell r="T41">
            <v>1</v>
          </cell>
          <cell r="U41">
            <v>1</v>
          </cell>
          <cell r="W41">
            <v>42180</v>
          </cell>
          <cell r="Y41">
            <v>42277</v>
          </cell>
          <cell r="AC41">
            <v>1</v>
          </cell>
          <cell r="AD41">
            <v>1</v>
          </cell>
          <cell r="AE41">
            <v>1</v>
          </cell>
          <cell r="AF41">
            <v>1</v>
          </cell>
          <cell r="AG41" t="str">
            <v>1er trimestre 2018</v>
          </cell>
          <cell r="AS41" t="str">
            <v>En el mes de enero de 2017, Socialización de análisis de vulnerabilidad y plan de adaptación al cambio climático y obtención de resolución, elaboración de informes trimestrales. En el mes de febrero de 2017, Planificación para evento de inauguración de obras. n) En el mes de marzo de 2017, Inauguración y entrega de la obra de riego a los beneficiarios. Y taller de cierre de medida técnica. Abril 2017  Elaboracion de especificaciones técnicas y Planes de Fortalecimiento Sostenibilidad y Cierre, Seguimiento a las obras de riego. Mayo 2017 Elaboración del plan de fortalecimiento, sostenibilidad y cierre. Junio 2017 Socialización , validación y firma de aprobación del Plan de fortalecimiento, sostenibilidad y cierre PFSC. Julio. Elaboración de informes trimestrales Agosto, Coordinación para participación Festival de Saberes y Sabores en Saraguro Septiembre,-  Organización con GAD para participación de beneficiarios en evento de Saraguro, taller de culminación de medida, socialización del PFSC, visita de obras por parte de oficial de PMA</v>
          </cell>
        </row>
        <row r="42">
          <cell r="B42" t="str">
            <v>LOJA</v>
          </cell>
          <cell r="D42" t="str">
            <v>MAE</v>
          </cell>
          <cell r="E42" t="str">
            <v>Selva Alegre</v>
          </cell>
          <cell r="J42">
            <v>315</v>
          </cell>
          <cell r="K42">
            <v>175</v>
          </cell>
          <cell r="L42">
            <v>75066.75</v>
          </cell>
          <cell r="T42">
            <v>1</v>
          </cell>
          <cell r="U42">
            <v>1</v>
          </cell>
          <cell r="W42">
            <v>42180</v>
          </cell>
          <cell r="Y42">
            <v>42294</v>
          </cell>
          <cell r="AC42">
            <v>1</v>
          </cell>
          <cell r="AD42">
            <v>1</v>
          </cell>
          <cell r="AE42">
            <v>1</v>
          </cell>
          <cell r="AF42">
            <v>1</v>
          </cell>
          <cell r="AG42" t="str">
            <v>1er trimestre 2018</v>
          </cell>
          <cell r="AS42" t="str">
            <v>En el mes de febrero de 2017, taller de cierre técnico de medida. En el mes de marzo de 2017, propuesta de fortalecimiento y desarrollo de informe final. Abril 2017  Definición y elaboracion de especificaciones técnicas y Planes de Fortalecimiento Sostenibilidad y Cierre. Mayo 2017 Elaboración del plan de fortalecimiento, sostenibilidad y cierre. Junio 2017 Socialización , validación y firma de aprobación del Plan de fortalecimiento, sostenibilidad y cierre PFSC Julio. Elaboración de informes trimestrales Agosto, Coordinación para participación Festival de Saberes y Sabores en Saraguro  Septiembre,-  Organización con GAD para participación de beneficiarios en evento de Saraguro, taller de culminación de medida, socialización del PFSC, visita de obras por parte de oficial de PMA</v>
          </cell>
        </row>
        <row r="43">
          <cell r="B43" t="str">
            <v>LOJA</v>
          </cell>
          <cell r="D43" t="str">
            <v>MAE</v>
          </cell>
          <cell r="E43" t="str">
            <v>San Sebastián de Yuluc</v>
          </cell>
          <cell r="J43">
            <v>250</v>
          </cell>
          <cell r="K43">
            <v>160</v>
          </cell>
          <cell r="L43">
            <v>121344.82</v>
          </cell>
          <cell r="T43">
            <v>1</v>
          </cell>
          <cell r="U43">
            <v>1</v>
          </cell>
          <cell r="W43">
            <v>42180</v>
          </cell>
          <cell r="Y43">
            <v>42276</v>
          </cell>
          <cell r="AC43">
            <v>1</v>
          </cell>
          <cell r="AD43">
            <v>1</v>
          </cell>
          <cell r="AE43">
            <v>1</v>
          </cell>
          <cell r="AF43">
            <v>1</v>
          </cell>
          <cell r="AG43" t="str">
            <v>1er trimestre 2018</v>
          </cell>
          <cell r="AS43" t="str">
            <v>En el mes de enero de 2017 monitoreo y seguimiento de la medida. Coordinación para el evento de febrero. En el mes de febrero de 2017, seguimiento y monitoreo de obras, Seguimiento resolución.  En el mes de marzo de 2017, taller de cierre de medida. Abril 2017  Elaboracion de especificaciones técnicas y Planes de Fortalecimiento Sostenibilidad y Cierre Seguimiento a las obras de riego. Mayo 2017 Elaboración del plan de fortalecimiento, sostenibilidad y cierre. Junio 2017 Socialización , validación y firma de aprobación del Plan de fortalecimiento, sostenibilidad y cierre PFSC. Julio. Elaboración de informes trimestrales Agosto, Coordinación para participación Festival de Saberes y Sabores en Saraguro Septiembre,-  Organización con GAD para participación de beneficiarios en evento de Saraguro, taller de culminación de medida, socialización del PFSC, visita de obras por parte de oficial de PMA</v>
          </cell>
        </row>
        <row r="44">
          <cell r="B44" t="str">
            <v>LOJA</v>
          </cell>
          <cell r="D44" t="str">
            <v>MAE</v>
          </cell>
          <cell r="E44" t="str">
            <v>Cabecera Cantonal Saraguro</v>
          </cell>
          <cell r="J44">
            <v>205</v>
          </cell>
          <cell r="K44">
            <v>200</v>
          </cell>
          <cell r="L44">
            <v>56535.96</v>
          </cell>
          <cell r="T44">
            <v>1</v>
          </cell>
          <cell r="U44">
            <v>1</v>
          </cell>
          <cell r="W44">
            <v>42180</v>
          </cell>
          <cell r="Y44">
            <v>42269</v>
          </cell>
          <cell r="AC44">
            <v>1</v>
          </cell>
          <cell r="AD44">
            <v>1</v>
          </cell>
          <cell r="AE44">
            <v>1</v>
          </cell>
          <cell r="AF44">
            <v>1</v>
          </cell>
          <cell r="AG44" t="str">
            <v>1er trimestre 2018</v>
          </cell>
          <cell r="AS44" t="str">
            <v>En enero de 2017 taller de validación de módulos de Camaren, visita de consultor género. Informe trimestral. En el mes de marzo de 2017, Resolución de Plan de Adaptación al Cambio Climático.  Monitoreo a la obra de riego. Abril 2017  Elaboracion de especificaciones técnicas y Planes de Fortalecimiento Sostenibilidad y Cierre, Seguimiento a las obras de riego. Mayo 2017 Elaboración del plan de fortalecimiento, sostenibilidad y cierre. Junio 2017. Socialización, validación y firma de aprobación del Plan de fortalecimiento, sostenibilidad y cierre Julio. Elaboración de informes trimestrales Julio. Elaboración de informes trimestrales Agosto, Coordinación para participación Festival de Saberes y Sabores en Saraguro Septiembre,-  Organización con GAD para participación de beneficiarios en evento de Saraguro, taller de culminación de medida, socialización del PFSC, visita de obras por parte de oficial de PMA</v>
          </cell>
        </row>
        <row r="45">
          <cell r="B45" t="str">
            <v>LOJA</v>
          </cell>
          <cell r="D45" t="str">
            <v>MAE</v>
          </cell>
          <cell r="E45" t="str">
            <v>Manu</v>
          </cell>
          <cell r="J45">
            <v>400</v>
          </cell>
          <cell r="K45">
            <v>395</v>
          </cell>
          <cell r="L45">
            <v>80577.23</v>
          </cell>
          <cell r="T45">
            <v>1</v>
          </cell>
          <cell r="U45">
            <v>1</v>
          </cell>
          <cell r="W45">
            <v>42513</v>
          </cell>
          <cell r="Y45">
            <v>42593</v>
          </cell>
          <cell r="AC45">
            <v>1</v>
          </cell>
          <cell r="AD45">
            <v>1</v>
          </cell>
          <cell r="AE45">
            <v>1</v>
          </cell>
          <cell r="AF45" t="str">
            <v>2do trimestre 2017</v>
          </cell>
          <cell r="AG45" t="str">
            <v>1er trimestre 2018</v>
          </cell>
          <cell r="AS45" t="str">
            <v>En el mes de enero de 2017, entrega de 200 kits de huertos y 195 kits de riego parcelario. Elaboración de informe trimestral. Taller de inducción de género, cambio climático y seguridad alimentaria. K) En el mes de febrero de 2017, seguimiento a la implementación de la medida. l) En el mes de marzo 2017, mplementación de medida Huertos y sistemas de riego. Abril 2017 seguimiento y monitoreo de las medidas implementadas y elaboracion de especificaciones técnicas y Planes de Fortalecimiento Sostenibilidad y Cierre. Mayo 2017 Elaboración del plan de fortalecimiento, sostenibilidad y cierre, monitoreo e implementación de la medida. Junio 2017 Socialización , validación y firma de aprobación del Plan de fortalecimiento, sostenibilidad y cierre PFSC, recorridos de seguimiento y monitoreo a la medida de adaptación. Julio. Elaboración de informes trimestrales Agosto, Coordinación para participación Festival de Saberes y Sabores en Saraguro Septiembre,-  Organización con GAD para participación de beneficiarios en evento de Saraguro, taller de culminación de medida, socialización del PFSC, visita de obras por parte de oficial de PMA</v>
          </cell>
        </row>
        <row r="46">
          <cell r="B46" t="str">
            <v>LOJA</v>
          </cell>
          <cell r="D46" t="str">
            <v>MAE</v>
          </cell>
          <cell r="E46" t="str">
            <v>Paraíso de Celén</v>
          </cell>
          <cell r="J46">
            <v>300</v>
          </cell>
          <cell r="K46">
            <v>300</v>
          </cell>
          <cell r="L46">
            <v>75474.94</v>
          </cell>
          <cell r="T46">
            <v>1</v>
          </cell>
          <cell r="U46">
            <v>1</v>
          </cell>
          <cell r="W46">
            <v>42513</v>
          </cell>
          <cell r="Y46">
            <v>42598</v>
          </cell>
          <cell r="AC46">
            <v>1</v>
          </cell>
          <cell r="AD46">
            <v>1</v>
          </cell>
          <cell r="AE46">
            <v>1</v>
          </cell>
          <cell r="AF46" t="str">
            <v>3er  trimestre 2017</v>
          </cell>
          <cell r="AG46" t="str">
            <v>1er trimestre 2018</v>
          </cell>
          <cell r="AS46" t="str">
            <v>En el mes de enero de 2016, entrega de 200 kits de huertos agroforestales. Taller de inducción de la medida. Elaboración del informe trimestral.  En el mes de febrero de 2017, seguimiento a instalación de huertos y sistemas de riego.  En el mes de marzo de 2017, Resolución y Plan de adaptación al Cambio Climático, implementación de huertos y sistema de riego parcelario.  Abril 2017 Elaboracion de especificaciones técnicas y Planes de Fortalecimiento Sostenibilidad y Cierre. Mayo 2017  Elaboración del plan de fortalecimiento, sostenibilidad y cierre, monitoreo e implementación de la medida, Junio 2017. Socialización, validación y firma de aprobación del Plan de fortalecimiento, sostenibilidad y cierre, recorridos de seguimiento y moitoreo de medidas de adaptación, medición de redes de riego, capacitación en huertos familiares. Julio. Elaboración de informes trimestrales Agosto, Coordinación para participación Festival de Saberes y Sabores en Saraguro Septiembre,-  Organización con GAD para participación de beneficiarios en evento de Saraguro, taller de culminación de medida, socialización del PFSC, visita de obras por parte de oficial de PMA</v>
          </cell>
        </row>
        <row r="47">
          <cell r="B47" t="str">
            <v>PICHINCHA</v>
          </cell>
          <cell r="D47" t="str">
            <v>GADPP</v>
          </cell>
          <cell r="E47" t="str">
            <v>Cangahua</v>
          </cell>
          <cell r="J47">
            <v>294</v>
          </cell>
          <cell r="K47">
            <v>97</v>
          </cell>
          <cell r="L47">
            <v>57525.81</v>
          </cell>
          <cell r="T47">
            <v>1</v>
          </cell>
          <cell r="U47">
            <v>1</v>
          </cell>
          <cell r="W47">
            <v>42010</v>
          </cell>
          <cell r="Y47">
            <v>42062</v>
          </cell>
          <cell r="AC47">
            <v>1</v>
          </cell>
          <cell r="AD47">
            <v>1</v>
          </cell>
          <cell r="AE47">
            <v>1</v>
          </cell>
          <cell r="AF47">
            <v>1</v>
          </cell>
          <cell r="AG47" t="str">
            <v xml:space="preserve"> 4to trimestre 2017</v>
          </cell>
          <cell r="AR47" t="str">
            <v xml:space="preserve">En Ejecución: Se finalizó la obra física de la medida de adaptación se  colocaron de líneas primarias y secundarias para el riego comunitario de 7Km de tubería para asegurar el riego de 146,58Ha, mediante el trabajo comunitario y el socio ejecutor.
Se encuentra en funcionamiento y se fortaleció la seguridad  alimentaria de 294 familias.
El reglamento interno de la junta de regantes y el diseño de los turnos de distribución del agua de riego se inició la construcción en Abril 2016, se halla pendiente por cambios de autoridades  comunales.                                                                      
Los talleres  de  fortalecimiento de capacidades en cambio climático, género y soberanía alimentaria se ejecutaron con una participación de todos los beneficiarios. 
EL  socio ejecutor GADPP ha priorizado con la comunidad el incentivo  mediante talleres y reuniones. Se está diseñando  las especificaciones técnicas del incentivo.
</v>
          </cell>
        </row>
        <row r="48">
          <cell r="B48" t="str">
            <v>PICHINCHA</v>
          </cell>
          <cell r="D48" t="str">
            <v>GADPP</v>
          </cell>
          <cell r="E48" t="str">
            <v>Olmedo</v>
          </cell>
          <cell r="J48">
            <v>104</v>
          </cell>
          <cell r="K48">
            <v>104</v>
          </cell>
          <cell r="L48">
            <v>56754.66</v>
          </cell>
          <cell r="T48">
            <v>1</v>
          </cell>
          <cell r="U48">
            <v>1</v>
          </cell>
          <cell r="W48">
            <v>42059</v>
          </cell>
          <cell r="Y48">
            <v>42144</v>
          </cell>
          <cell r="AC48">
            <v>1</v>
          </cell>
          <cell r="AD48">
            <v>1</v>
          </cell>
          <cell r="AE48">
            <v>1</v>
          </cell>
          <cell r="AF48">
            <v>1</v>
          </cell>
          <cell r="AG48" t="str">
            <v>4to trimestre 2017</v>
          </cell>
          <cell r="AR48" t="str">
            <v xml:space="preserve">En Ejecución: Se finalizó la obra física de la medida de adaptación asegurando la dotación de agua de riego con la construcción de un reservorio que almacena 19.000m3  para regar  400Ha.
Se encuentra funcionando y se fortaleció la seguridad  alimentaria de 104 familias.
El reglamento interno de la junta de regantes y el diseño de los turnos de distribución del agua de riego se inició la construcción en Abril 2016, se halla pendiente por cambios de autoridades  comunales.                                                                      
Los talleres  de  fortalecimiento de capacidades en cambio climático, género y soberanía alimentaria se ejecutaron con una participación de todos los beneficiarios. 
EL  socio ejecutor GADPP ha priorizado con la comunidad el incentivo  mediante talleres y reuniones. Se está diseñando  las especificaciones técnicas del incentivo.
</v>
          </cell>
        </row>
        <row r="49">
          <cell r="B49" t="str">
            <v>PICHINCHA</v>
          </cell>
          <cell r="D49" t="str">
            <v>GADPP</v>
          </cell>
          <cell r="E49" t="str">
            <v>Cusubamba</v>
          </cell>
          <cell r="J49">
            <v>127</v>
          </cell>
          <cell r="K49">
            <v>140</v>
          </cell>
          <cell r="L49">
            <v>64495</v>
          </cell>
          <cell r="T49">
            <v>1</v>
          </cell>
          <cell r="U49">
            <v>1</v>
          </cell>
          <cell r="W49">
            <v>42465</v>
          </cell>
          <cell r="Y49">
            <v>42462</v>
          </cell>
          <cell r="AC49">
            <v>1</v>
          </cell>
          <cell r="AD49">
            <v>1</v>
          </cell>
          <cell r="AE49">
            <v>1</v>
          </cell>
          <cell r="AF49">
            <v>1</v>
          </cell>
          <cell r="AG49" t="str">
            <v>4to trimestre 2017</v>
          </cell>
          <cell r="AR49" t="str">
            <v xml:space="preserve">En Ejecución: Se finalizó la obra física de la medida de adaptación,  un reservorio que almacenará  10.000 m3  para el riego de 120Ha que beneficiará a las 127 familias.
Se encuentran en construcción  el reglamento interno de las junta de regantes y el al diseño de los turnos de distribución del agua de riego, existe un documento borrador.
Los talleres  de  fortalecimiento de capacidades en cambio climático, género y soberanía alimentaria se ejecutaron con una participación de todos los beneficiarios. 
EL  socio ejecutor GADPP ha priorizado con la comunidad el incentivo  mediante talleres y reuniones. Se está diseñando  las especificaciones técnicas del incentivo.
</v>
          </cell>
        </row>
        <row r="50">
          <cell r="B50" t="str">
            <v>PICHINCHA</v>
          </cell>
          <cell r="D50" t="str">
            <v>GADPP</v>
          </cell>
          <cell r="E50" t="str">
            <v>Otón</v>
          </cell>
          <cell r="J50">
            <v>81</v>
          </cell>
          <cell r="K50">
            <v>85</v>
          </cell>
          <cell r="L50">
            <v>55560</v>
          </cell>
          <cell r="T50">
            <v>1</v>
          </cell>
          <cell r="U50">
            <v>1</v>
          </cell>
          <cell r="W50">
            <v>42118</v>
          </cell>
          <cell r="Y50">
            <v>42144</v>
          </cell>
          <cell r="AC50">
            <v>1</v>
          </cell>
          <cell r="AD50">
            <v>1</v>
          </cell>
          <cell r="AE50">
            <v>1</v>
          </cell>
          <cell r="AF50">
            <v>1</v>
          </cell>
          <cell r="AG50" t="str">
            <v xml:space="preserve"> 4to trimestre 2017</v>
          </cell>
          <cell r="AR50" t="str">
            <v xml:space="preserve">En Ejecución: Se finalizó la obra física de la medida de adaptación asegurando la dotación del agua de riego con la construcción de  dos reservorios  con capacidad 4.000 y 5.000 m³ que incrementaron las áreas de riego a 53ha beneficiando a las  81 familias.
Se encuentran en construcción  el reglamento interno de las junta de regantes y el al diseño de los turnos de distribución del agua de riego, existe un documento borrador.
Los talleres  de  fortalecimiento de capacidades en cambio climático, género y soberanía alimentaria se ejecutaron con una participación de todos los beneficiarios. 
EL  socio ejecutor GADPP ha priorizado con la comunidad el incentivo  mediante talleres y reuniones. Se está diseñando  las especificaciones técnicas del incentivo.
</v>
          </cell>
        </row>
        <row r="51">
          <cell r="B51" t="str">
            <v>PICHINCHA</v>
          </cell>
          <cell r="D51" t="str">
            <v>GADPP</v>
          </cell>
          <cell r="E51" t="str">
            <v xml:space="preserve">Ayora </v>
          </cell>
          <cell r="J51">
            <v>94</v>
          </cell>
          <cell r="K51">
            <v>94</v>
          </cell>
          <cell r="L51">
            <v>55959.63</v>
          </cell>
          <cell r="T51">
            <v>1</v>
          </cell>
          <cell r="U51">
            <v>1</v>
          </cell>
          <cell r="W51">
            <v>42213</v>
          </cell>
          <cell r="Y51">
            <v>42292</v>
          </cell>
          <cell r="AC51">
            <v>1</v>
          </cell>
          <cell r="AD51">
            <v>1</v>
          </cell>
          <cell r="AE51">
            <v>1</v>
          </cell>
          <cell r="AF51">
            <v>1</v>
          </cell>
          <cell r="AG51" t="str">
            <v>4to trimestre 2017</v>
          </cell>
          <cell r="AR51" t="str">
            <v xml:space="preserve">En Ejecución: Se finalizaron los trabajos de la construcción  de dos reservorios: En Curiloma de 2.316 m³  y Guanto San Carlos de 3.348m³ para incrementar las áreas de riego a 290ha. y  fortalecer la seguridad alimentaria de 94 familias.
Los talleres  de  fortalecimiento de capacidades en cambio climático, género y soberanía alimentaria se ejecutaron con una participación de todos los beneficiarios. 
EL  socio ejecutor GADPP ha priorizado con la comunidad el incentivo  mediante talleres y reuniones. Se está diseñando  las especificaciones técnicas del incentivo.
</v>
          </cell>
        </row>
        <row r="52">
          <cell r="B52" t="str">
            <v>PICHINCHA</v>
          </cell>
          <cell r="D52" t="str">
            <v>GADPP</v>
          </cell>
          <cell r="E52" t="str">
            <v>Ascázubi</v>
          </cell>
          <cell r="J52">
            <v>106</v>
          </cell>
          <cell r="K52">
            <v>106</v>
          </cell>
          <cell r="L52">
            <v>58893.78</v>
          </cell>
          <cell r="T52">
            <v>1</v>
          </cell>
          <cell r="U52">
            <v>1</v>
          </cell>
          <cell r="W52">
            <v>42008</v>
          </cell>
          <cell r="AC52">
            <v>1</v>
          </cell>
          <cell r="AD52">
            <v>1</v>
          </cell>
          <cell r="AE52">
            <v>1</v>
          </cell>
          <cell r="AF52">
            <v>1</v>
          </cell>
          <cell r="AG52" t="str">
            <v>4to trimestre 2017</v>
          </cell>
          <cell r="AR52" t="str">
            <v xml:space="preserve">En Cierre: Se finalizó la obra física de la medida de adaptación se instaló 2 Km de redes de distribución entubadas del canal de Riego el Pisque, para beneficiar a los barrios  Pro Mejoras Las Flores y El Carmen.  Se mejoró la calidad y cantidad de agua de riego  para 38,02 ha. Se fortaleció la seguridad  alimentaria de 106 familias.
El reglamento interno de la junta de regantes y el diseño de los turnos de distribución del agua de riego se encuentra legalizado debido a que pertenecen a un canal de riego. 
Los talleres  de  fortalecimiento de capacidades en cambio climático, género y soberanía alimentaria se ejecutaron con una participación de todos los beneficiarios. 
EL  socio ejecutor GADPP ha priorizado con la comunidad el incentivo  mediante talleres y reuniones. Se está diseñando  las especificaciones técnicas del incentivo.
</v>
          </cell>
        </row>
        <row r="53">
          <cell r="B53" t="str">
            <v>PICHINCHA</v>
          </cell>
          <cell r="D53" t="str">
            <v>GADPP</v>
          </cell>
          <cell r="E53" t="str">
            <v>Cayambe</v>
          </cell>
          <cell r="J53">
            <v>39</v>
          </cell>
          <cell r="K53">
            <v>39</v>
          </cell>
          <cell r="L53">
            <v>56479.63</v>
          </cell>
          <cell r="T53">
            <v>1</v>
          </cell>
          <cell r="U53">
            <v>1</v>
          </cell>
          <cell r="W53">
            <v>42855</v>
          </cell>
          <cell r="Y53">
            <v>42855</v>
          </cell>
          <cell r="AC53">
            <v>1</v>
          </cell>
          <cell r="AD53">
            <v>1</v>
          </cell>
          <cell r="AE53" t="str">
            <v>4to trimestre 2017</v>
          </cell>
          <cell r="AF53" t="str">
            <v>4to trimestre 2017</v>
          </cell>
          <cell r="AG53" t="str">
            <v>4to trimestre 2017</v>
          </cell>
          <cell r="AR53" t="str">
            <v xml:space="preserve">En Implementación: Se  aprobó la medida de adaptación el 30 de abril del 2017 para la comunidad  de Ancholag, el sector Río Blanquillo se beneficiará  a 39 familias.  Se realizaron los dos reservorios de 1.050  y 3.060m3  y está en proceso la compra de los materiales para la impermeabilización de los reservorios.
Los talleres  de  fortalecimiento de capacidades en cambio climático, género y soberanía alimentaria se ejecutaron con una participación de todos los beneficiarios.
EL  socio ejecutor GADPP ha priorizado con la comunidad el incentivo  mediante talleres y reuniones. Se está diseñando  las especificaciones técnicas del incentivo.
</v>
          </cell>
        </row>
        <row r="54">
          <cell r="B54" t="str">
            <v>PICHINCHA</v>
          </cell>
          <cell r="D54" t="str">
            <v>GADPP</v>
          </cell>
          <cell r="E54" t="str">
            <v>Juan Montalvo</v>
          </cell>
          <cell r="J54">
            <v>102</v>
          </cell>
          <cell r="K54">
            <v>110</v>
          </cell>
          <cell r="L54">
            <v>56566.89</v>
          </cell>
          <cell r="T54">
            <v>1</v>
          </cell>
          <cell r="U54">
            <v>1</v>
          </cell>
          <cell r="W54">
            <v>42359</v>
          </cell>
          <cell r="Y54">
            <v>42373</v>
          </cell>
          <cell r="AC54">
            <v>1</v>
          </cell>
          <cell r="AD54">
            <v>1</v>
          </cell>
          <cell r="AE54">
            <v>1</v>
          </cell>
          <cell r="AF54">
            <v>1</v>
          </cell>
          <cell r="AG54" t="str">
            <v>4to trimestre 2017</v>
          </cell>
          <cell r="AR54" t="str">
            <v xml:space="preserve">En Implementación: Se finalizó la obra física de la medida de adaptación con la construcción de un reservorio   4.200m³  para se incrementará las áreas de riego  a 290 ha.  y  fortalecer la seguridad alimentaria de 102 familias. Se encuentra funcionando.
El reglamento interno de la junta de regantes y el diseño de los turnos de distribución del agua de riego se encuentra legalizado debido a que pertenecen a un canal de riego. 
Los talleres  de  fortalecimiento de capacidades en cambio climático, género y soberanía alimentaria se ejecutaron con una participación de todos los beneficiarios. 
EL  socio ejecutor GADPP ha priorizado con la comunidad el incentivo  mediante talleres y reuniones. Se está diseñando  las especificaciones técnicas del incentivo.
</v>
          </cell>
        </row>
        <row r="55">
          <cell r="B55" t="str">
            <v>PICHINCHA</v>
          </cell>
          <cell r="D55" t="str">
            <v>GADPP</v>
          </cell>
          <cell r="E55" t="str">
            <v>Tabacundo</v>
          </cell>
          <cell r="J55">
            <v>296</v>
          </cell>
          <cell r="K55">
            <v>94</v>
          </cell>
          <cell r="L55">
            <v>54951</v>
          </cell>
          <cell r="T55">
            <v>1</v>
          </cell>
          <cell r="U55">
            <v>1</v>
          </cell>
          <cell r="W55">
            <v>42012</v>
          </cell>
          <cell r="Y55">
            <v>42062</v>
          </cell>
          <cell r="AC55">
            <v>1</v>
          </cell>
          <cell r="AD55">
            <v>1</v>
          </cell>
          <cell r="AE55">
            <v>1</v>
          </cell>
          <cell r="AF55">
            <v>1</v>
          </cell>
          <cell r="AG55" t="str">
            <v>4to trimestre 2017</v>
          </cell>
          <cell r="AR55" t="str">
            <v xml:space="preserve">En implementación: Se finalizó la obra física de la medida de adaptación y se encuentra funcionando. Se construyó un reservorio  con capacidad de 20.000m³ para el riego 120ha y beneficiar a 206 familias.
Se encuentran en construcción  el reglamento interno de la junta de regantes y el  diseño de los turnos de distribución del agua de riego, existe un documento borrador.
Los talleres  de  fortalecimiento de capacidades en cambio climático, género y soberanía alimentaria se ejecutaron con una participación de todos los beneficiarios. 
EL  socio ejecutor GADPP ha priorizado con la comunidad el incentivo  mediante talleres y reuniones. Se está diseñando  las especificaciones técnicas del incentivo.
</v>
          </cell>
        </row>
        <row r="56">
          <cell r="B56" t="str">
            <v>PICHINCHA</v>
          </cell>
          <cell r="D56" t="str">
            <v>GADPP</v>
          </cell>
          <cell r="E56" t="str">
            <v>La Esperanza</v>
          </cell>
          <cell r="J56">
            <v>206</v>
          </cell>
          <cell r="K56">
            <v>93</v>
          </cell>
          <cell r="L56">
            <v>56754.66</v>
          </cell>
          <cell r="T56">
            <v>1</v>
          </cell>
          <cell r="U56">
            <v>1</v>
          </cell>
          <cell r="W56">
            <v>41968</v>
          </cell>
          <cell r="Y56">
            <v>42062</v>
          </cell>
          <cell r="AC56">
            <v>1</v>
          </cell>
          <cell r="AD56">
            <v>1</v>
          </cell>
          <cell r="AE56">
            <v>1</v>
          </cell>
          <cell r="AF56">
            <v>1</v>
          </cell>
          <cell r="AG56" t="str">
            <v xml:space="preserve"> 4to trimestre 2017</v>
          </cell>
          <cell r="AR56" t="str">
            <v xml:space="preserve">En implementación: Se  finalizó  la obra física de la medida de adaptación para asegurar la dotación de agua de riego de 206 familias, con un reservorio con capacidad de almacenamiento de  35.000m3  y  regar 142,44ha. 
Se encuentran en construcción  el reglamento interno de la junta de regantes y el  diseño de los turnos de distribución del agua de riego, existe un documento borrador.
Los talleres  de  fortalecimiento de capacidades en cambio climático, género y soberanía alimentaria se ejecutaron con una participación de todos los beneficiarios. 
EL  socio ejecutor GADPP ha priorizado con la comunidad el incentivo  mediante talleres y reuniones. Se está diseñando  las especificaciones técnicas del incentivo.
</v>
          </cell>
        </row>
        <row r="57">
          <cell r="B57" t="str">
            <v>PICHINCHA</v>
          </cell>
          <cell r="D57" t="str">
            <v>GADPP</v>
          </cell>
          <cell r="E57" t="str">
            <v>Malchingui</v>
          </cell>
          <cell r="J57">
            <v>44</v>
          </cell>
          <cell r="K57">
            <v>44</v>
          </cell>
          <cell r="L57">
            <v>48402.94</v>
          </cell>
          <cell r="T57">
            <v>1</v>
          </cell>
          <cell r="U57">
            <v>1</v>
          </cell>
          <cell r="W57">
            <v>42080</v>
          </cell>
          <cell r="Y57">
            <v>42144</v>
          </cell>
          <cell r="AC57">
            <v>1</v>
          </cell>
          <cell r="AD57">
            <v>1</v>
          </cell>
          <cell r="AE57">
            <v>1</v>
          </cell>
          <cell r="AF57">
            <v>1</v>
          </cell>
          <cell r="AG57" t="str">
            <v xml:space="preserve"> 4to trimestre 2017</v>
          </cell>
          <cell r="AR57" t="str">
            <v xml:space="preserve">En implementación: Se finalizó la obra física de la medida de adaptación  y se encuentra en funcionamiento, se asegurando la dotación de agua de riego con la construcción de dos reservorios que almacenan 2.400 m3 para regar 30Ha.
Se fortaleció la seguridad  alimentaria de 44 familias.
El reglamento interno de la junta de regantes y el diseño de los turnos de distribución del agua de riego se inició la construcción en Abril 2016, se halla pendiente por cambios de autoridades  comunales.                                                                      
Los talleres  de  fortalecimiento de capacidades en cambio climático, género y soberanía alimentaria se ejecutaron con una participación de todos los beneficiarios. 
EL  socio ejecutor GADPP ha priorizado con la comunidad el incentivo  mediante talleres y reuniones. Se está diseñando  las especificaciones técnicas del incentivo.
</v>
          </cell>
        </row>
        <row r="58">
          <cell r="B58" t="str">
            <v>PICHINCHA</v>
          </cell>
          <cell r="D58" t="str">
            <v>GADPP</v>
          </cell>
          <cell r="E58" t="str">
            <v>Tocachi</v>
          </cell>
          <cell r="J58">
            <v>66</v>
          </cell>
          <cell r="K58">
            <v>66</v>
          </cell>
          <cell r="L58">
            <v>55288.73</v>
          </cell>
          <cell r="T58">
            <v>1</v>
          </cell>
          <cell r="U58">
            <v>1</v>
          </cell>
          <cell r="W58">
            <v>42956</v>
          </cell>
          <cell r="Y58">
            <v>42957</v>
          </cell>
          <cell r="AC58">
            <v>1</v>
          </cell>
          <cell r="AD58">
            <v>1</v>
          </cell>
          <cell r="AE58" t="str">
            <v>4to trimestre 2017</v>
          </cell>
          <cell r="AF58" t="str">
            <v>4to trimestre 2017</v>
          </cell>
          <cell r="AG58" t="str">
            <v>4to trimestre 2017</v>
          </cell>
          <cell r="AR58" t="str">
            <v xml:space="preserve">En Implementación: La medida de adaptación  fue diseñada por el equipo técnico del GADPP y  lo presentó para la aprobación al Comité Directivo Nacional.  Se aprobó el nuevo proyecto de medida y se inició los procesos de implementación.
Se realizará un reservorio de 5000m3 y colocación de 3.9 Km de tubería  para asegura la alimentación de 66 familias.
El GADPP se encuentra realizando los requerimientos de las compras de los materiales y  un cronograma de ejecución de talleres.
Se realizó el taller de arranque de la Medida de Adaptación y  seleccionó el incentivo para las familias.
</v>
          </cell>
        </row>
        <row r="59">
          <cell r="B59" t="str">
            <v>PICHINCHA</v>
          </cell>
          <cell r="D59" t="str">
            <v>GADPP</v>
          </cell>
          <cell r="E59" t="str">
            <v>Tupigachi</v>
          </cell>
          <cell r="J59">
            <v>50</v>
          </cell>
          <cell r="K59">
            <v>50</v>
          </cell>
          <cell r="L59">
            <v>49972.66</v>
          </cell>
          <cell r="T59">
            <v>1</v>
          </cell>
          <cell r="U59">
            <v>1</v>
          </cell>
          <cell r="W59">
            <v>42857</v>
          </cell>
          <cell r="Y59">
            <v>42855</v>
          </cell>
          <cell r="AC59">
            <v>1</v>
          </cell>
          <cell r="AD59">
            <v>1</v>
          </cell>
          <cell r="AE59">
            <v>1</v>
          </cell>
          <cell r="AF59" t="str">
            <v>4to trimestre 2017</v>
          </cell>
          <cell r="AG59" t="str">
            <v xml:space="preserve"> 4to trimestre 2017</v>
          </cell>
          <cell r="AR59" t="str">
            <v xml:space="preserve">En implementación: Se aprobó la medida de adaptación para la comunidad la Florencia y  fue probada  el 30 de abril del 2017 por los miembros del Comité Técnico se beneficiarán 50 familias.  Se construyeron dos reservorios  de  2.200 y 1.800m3 y está en proceso la compra de los materiales para la impermeabilización de los reservorios. 
EL  socio ejecutor GADPP ha priorizado con la comunidad el incentivo  mediante talleres y reuniones. Se está diseñando  las especificaciones técnicas del incentivo.
</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ruflores@magap.gob.ec" TargetMode="External"/><Relationship Id="rId7" Type="http://schemas.openxmlformats.org/officeDocument/2006/relationships/printerSettings" Target="../printerSettings/printerSettings1.bin"/><Relationship Id="rId2" Type="http://schemas.openxmlformats.org/officeDocument/2006/relationships/hyperlink" Target="mailto:kyungnan.park@wfp.org" TargetMode="External"/><Relationship Id="rId1" Type="http://schemas.openxmlformats.org/officeDocument/2006/relationships/hyperlink" Target="mailto:julio.rojas@ambiente.gob.ec" TargetMode="External"/><Relationship Id="rId6" Type="http://schemas.openxmlformats.org/officeDocument/2006/relationships/hyperlink" Target="mailto:tarsicio.granizo@ambiente.gob.ec" TargetMode="External"/><Relationship Id="rId5" Type="http://schemas.openxmlformats.org/officeDocument/2006/relationships/hyperlink" Target="mailto:diegog.guzman@ambiente.gob.ec" TargetMode="External"/><Relationship Id="rId4" Type="http://schemas.openxmlformats.org/officeDocument/2006/relationships/hyperlink" Target="mailto:gbaroja@pichincha.gob.ec"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hyperlink" Target="http://www.eltelegrafo.com.ec/noticias/sociedad/4/festival-para-enfrentar-el-cambio-climatico-se-realizo-en-tabacundo" TargetMode="External"/><Relationship Id="rId2" Type="http://schemas.openxmlformats.org/officeDocument/2006/relationships/hyperlink" Target="https://wfp-es.exposure.co/f3724c741776b70912c2336e95edae72?more=true" TargetMode="External"/><Relationship Id="rId1" Type="http://schemas.openxmlformats.org/officeDocument/2006/relationships/hyperlink" Target="http://es.wfp.org/content/ecuador-informe-anual-2016" TargetMode="External"/><Relationship Id="rId4"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file:///C:/Users/wb512518/AppData/Local/AppData/AppData/Local/AppData/Local/Microsoft/Users/Micol/AppData/Local/Microsoft/Windows/INetCache/AppData/Local/Microsoft/Windows/Temporary%20Internet%20Files/Content.Outlook/Microsoft/Windows/INetCache/Downloads/CARME" TargetMode="External"/><Relationship Id="rId1" Type="http://schemas.openxmlformats.org/officeDocument/2006/relationships/hyperlink" Target="mailto:julio.rojas@ambiente.gob.ec" TargetMode="Externa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carmen.galarza@wfp.org" TargetMode="External"/><Relationship Id="rId1" Type="http://schemas.openxmlformats.org/officeDocument/2006/relationships/hyperlink" Target="mailto:diegog.guzman@ambiente.gob.ec"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P181"/>
  <sheetViews>
    <sheetView zoomScale="90" zoomScaleNormal="90" workbookViewId="0">
      <selection activeCell="D31" sqref="D31"/>
    </sheetView>
  </sheetViews>
  <sheetFormatPr defaultColWidth="102.36328125" defaultRowHeight="14" x14ac:dyDescent="0.3"/>
  <cols>
    <col min="1" max="1" width="2.54296875" style="1" customWidth="1"/>
    <col min="2" max="2" width="10.90625" style="71" customWidth="1"/>
    <col min="3" max="3" width="14.90625" style="71" customWidth="1"/>
    <col min="4" max="4" width="117" style="1" customWidth="1"/>
    <col min="5" max="5" width="3.6328125" style="1" customWidth="1"/>
    <col min="6" max="6" width="9.08984375" style="1" customWidth="1"/>
    <col min="7" max="7" width="12.36328125" style="2" customWidth="1"/>
    <col min="8" max="8" width="15.453125" style="2" hidden="1" customWidth="1"/>
    <col min="9" max="13" width="0" style="2" hidden="1" customWidth="1"/>
    <col min="14" max="15" width="9.08984375" style="2" hidden="1" customWidth="1"/>
    <col min="16" max="16" width="0" style="2" hidden="1" customWidth="1"/>
    <col min="17" max="251" width="9.08984375" style="1" customWidth="1"/>
    <col min="252" max="252" width="2.6328125" style="1" customWidth="1"/>
    <col min="253" max="254" width="9.08984375" style="1" customWidth="1"/>
    <col min="255" max="255" width="17.36328125" style="1" customWidth="1"/>
    <col min="256" max="16384" width="102.36328125" style="1"/>
  </cols>
  <sheetData>
    <row r="1" spans="2:16" ht="14.5" thickBot="1" x14ac:dyDescent="0.35"/>
    <row r="2" spans="2:16" ht="14.5" thickBot="1" x14ac:dyDescent="0.35">
      <c r="B2" s="72"/>
      <c r="C2" s="73"/>
      <c r="D2" s="47"/>
      <c r="E2" s="48"/>
    </row>
    <row r="3" spans="2:16" ht="18" thickBot="1" x14ac:dyDescent="0.4">
      <c r="B3" s="74"/>
      <c r="C3" s="75"/>
      <c r="D3" s="59" t="s">
        <v>0</v>
      </c>
      <c r="E3" s="50"/>
    </row>
    <row r="4" spans="2:16" ht="14.5" thickBot="1" x14ac:dyDescent="0.35">
      <c r="B4" s="74"/>
      <c r="C4" s="75"/>
      <c r="D4" s="49"/>
      <c r="E4" s="50"/>
    </row>
    <row r="5" spans="2:16" ht="14.5" thickBot="1" x14ac:dyDescent="0.35">
      <c r="B5" s="74"/>
      <c r="C5" s="78" t="s">
        <v>1</v>
      </c>
      <c r="D5" s="946" t="s">
        <v>1034</v>
      </c>
      <c r="E5" s="50"/>
    </row>
    <row r="6" spans="2:16" s="3" customFormat="1" ht="14.5" thickBot="1" x14ac:dyDescent="0.35">
      <c r="B6" s="76"/>
      <c r="C6" s="57"/>
      <c r="D6" s="23"/>
      <c r="E6" s="21"/>
      <c r="G6" s="2"/>
      <c r="H6" s="2"/>
      <c r="I6" s="2"/>
      <c r="J6" s="2"/>
      <c r="K6" s="2"/>
      <c r="L6" s="2"/>
      <c r="M6" s="2"/>
      <c r="N6" s="2"/>
      <c r="O6" s="2"/>
      <c r="P6" s="2"/>
    </row>
    <row r="7" spans="2:16" s="3" customFormat="1" ht="28.5" thickBot="1" x14ac:dyDescent="0.35">
      <c r="B7" s="76"/>
      <c r="C7" s="51" t="s">
        <v>2</v>
      </c>
      <c r="D7" s="345" t="s">
        <v>1536</v>
      </c>
      <c r="E7" s="21"/>
      <c r="G7" s="2"/>
      <c r="H7" s="2"/>
      <c r="I7" s="2"/>
      <c r="J7" s="2"/>
      <c r="K7" s="2"/>
      <c r="L7" s="2"/>
      <c r="M7" s="2"/>
      <c r="N7" s="2"/>
      <c r="O7" s="2"/>
      <c r="P7" s="2"/>
    </row>
    <row r="8" spans="2:16" s="3" customFormat="1" x14ac:dyDescent="0.3">
      <c r="B8" s="74"/>
      <c r="C8" s="75"/>
      <c r="D8" s="49"/>
      <c r="E8" s="21"/>
      <c r="G8" s="2"/>
      <c r="H8" s="2"/>
      <c r="I8" s="2"/>
      <c r="J8" s="2"/>
      <c r="K8" s="2"/>
      <c r="L8" s="2"/>
      <c r="M8" s="2"/>
      <c r="N8" s="2"/>
      <c r="O8" s="2"/>
      <c r="P8" s="2"/>
    </row>
    <row r="9" spans="2:16" s="3" customFormat="1" x14ac:dyDescent="0.3">
      <c r="B9" s="74"/>
      <c r="C9" s="75"/>
      <c r="D9" s="49"/>
      <c r="E9" s="21"/>
      <c r="G9" s="2"/>
      <c r="H9" s="2"/>
      <c r="I9" s="2"/>
      <c r="J9" s="2"/>
      <c r="K9" s="2"/>
      <c r="L9" s="2"/>
      <c r="M9" s="2"/>
      <c r="N9" s="2"/>
      <c r="O9" s="2"/>
      <c r="P9" s="2"/>
    </row>
    <row r="10" spans="2:16" s="3" customFormat="1" x14ac:dyDescent="0.3">
      <c r="B10" s="74"/>
      <c r="C10" s="75"/>
      <c r="D10" s="49"/>
      <c r="E10" s="21"/>
      <c r="G10" s="2"/>
      <c r="H10" s="2"/>
      <c r="I10" s="2"/>
      <c r="J10" s="2"/>
      <c r="K10" s="2"/>
      <c r="L10" s="2"/>
      <c r="M10" s="2"/>
      <c r="N10" s="2"/>
      <c r="O10" s="2"/>
      <c r="P10" s="2"/>
    </row>
    <row r="11" spans="2:16" s="3" customFormat="1" x14ac:dyDescent="0.3">
      <c r="B11" s="74"/>
      <c r="C11" s="75"/>
      <c r="D11" s="49"/>
      <c r="E11" s="21"/>
      <c r="G11" s="2"/>
      <c r="H11" s="2"/>
      <c r="I11" s="2"/>
      <c r="J11" s="2"/>
      <c r="K11" s="2"/>
      <c r="L11" s="2"/>
      <c r="M11" s="2"/>
      <c r="N11" s="2"/>
      <c r="O11" s="2"/>
      <c r="P11" s="2"/>
    </row>
    <row r="12" spans="2:16" s="3" customFormat="1" ht="14.5" thickBot="1" x14ac:dyDescent="0.35">
      <c r="B12" s="76"/>
      <c r="C12" s="57"/>
      <c r="D12" s="23"/>
      <c r="E12" s="21"/>
      <c r="G12" s="2"/>
      <c r="H12" s="2"/>
      <c r="I12" s="2"/>
      <c r="J12" s="2"/>
      <c r="K12" s="2"/>
      <c r="L12" s="2"/>
      <c r="M12" s="2"/>
      <c r="N12" s="2"/>
      <c r="O12" s="2"/>
      <c r="P12" s="2"/>
    </row>
    <row r="13" spans="2:16" s="3" customFormat="1" ht="409.25" customHeight="1" thickBot="1" x14ac:dyDescent="0.35">
      <c r="B13" s="76"/>
      <c r="C13" s="52" t="s">
        <v>3</v>
      </c>
      <c r="D13" s="345" t="s">
        <v>1537</v>
      </c>
      <c r="E13" s="21"/>
      <c r="G13" s="2"/>
      <c r="H13" s="2"/>
      <c r="I13" s="2"/>
      <c r="J13" s="2"/>
      <c r="K13" s="2"/>
      <c r="L13" s="2"/>
      <c r="M13" s="2"/>
      <c r="N13" s="2"/>
      <c r="O13" s="2"/>
      <c r="P13" s="2"/>
    </row>
    <row r="14" spans="2:16" s="3" customFormat="1" ht="14.5" thickBot="1" x14ac:dyDescent="0.35">
      <c r="B14" s="76"/>
      <c r="C14" s="57"/>
      <c r="D14" s="23"/>
      <c r="E14" s="21"/>
      <c r="G14" s="2"/>
      <c r="H14" s="2" t="s">
        <v>4</v>
      </c>
      <c r="I14" s="2" t="s">
        <v>5</v>
      </c>
      <c r="J14" s="2"/>
      <c r="K14" s="2" t="s">
        <v>6</v>
      </c>
      <c r="L14" s="2" t="s">
        <v>7</v>
      </c>
      <c r="M14" s="2" t="s">
        <v>8</v>
      </c>
      <c r="N14" s="2" t="s">
        <v>9</v>
      </c>
      <c r="O14" s="2" t="s">
        <v>10</v>
      </c>
      <c r="P14" s="2" t="s">
        <v>11</v>
      </c>
    </row>
    <row r="15" spans="2:16" s="3" customFormat="1" x14ac:dyDescent="0.3">
      <c r="B15" s="76"/>
      <c r="C15" s="53" t="s">
        <v>12</v>
      </c>
      <c r="D15" s="8"/>
      <c r="E15" s="21"/>
      <c r="G15" s="2"/>
      <c r="H15" s="4" t="s">
        <v>13</v>
      </c>
      <c r="I15" s="2" t="s">
        <v>14</v>
      </c>
      <c r="J15" s="2" t="s">
        <v>15</v>
      </c>
      <c r="K15" s="2" t="s">
        <v>16</v>
      </c>
      <c r="L15" s="2">
        <v>1</v>
      </c>
      <c r="M15" s="2">
        <v>1</v>
      </c>
      <c r="N15" s="2" t="s">
        <v>17</v>
      </c>
      <c r="O15" s="2" t="s">
        <v>18</v>
      </c>
      <c r="P15" s="2" t="s">
        <v>19</v>
      </c>
    </row>
    <row r="16" spans="2:16" s="3" customFormat="1" x14ac:dyDescent="0.3">
      <c r="B16" s="972" t="s">
        <v>20</v>
      </c>
      <c r="C16" s="974"/>
      <c r="D16" s="276" t="s">
        <v>1538</v>
      </c>
      <c r="E16" s="21"/>
      <c r="G16" s="2"/>
      <c r="H16" s="4" t="s">
        <v>21</v>
      </c>
      <c r="I16" s="2" t="s">
        <v>22</v>
      </c>
      <c r="J16" s="2" t="s">
        <v>23</v>
      </c>
      <c r="K16" s="2" t="s">
        <v>24</v>
      </c>
      <c r="L16" s="2">
        <v>2</v>
      </c>
      <c r="M16" s="2">
        <v>2</v>
      </c>
      <c r="N16" s="2" t="s">
        <v>25</v>
      </c>
      <c r="O16" s="2" t="s">
        <v>26</v>
      </c>
      <c r="P16" s="2" t="s">
        <v>27</v>
      </c>
    </row>
    <row r="17" spans="2:16" s="3" customFormat="1" x14ac:dyDescent="0.3">
      <c r="B17" s="76"/>
      <c r="C17" s="53" t="s">
        <v>28</v>
      </c>
      <c r="D17" s="277" t="s">
        <v>29</v>
      </c>
      <c r="E17" s="21"/>
      <c r="G17" s="2"/>
      <c r="H17" s="4" t="s">
        <v>30</v>
      </c>
      <c r="I17" s="2" t="s">
        <v>31</v>
      </c>
      <c r="J17" s="2"/>
      <c r="K17" s="2" t="s">
        <v>32</v>
      </c>
      <c r="L17" s="2">
        <v>3</v>
      </c>
      <c r="M17" s="2">
        <v>3</v>
      </c>
      <c r="N17" s="2" t="s">
        <v>33</v>
      </c>
      <c r="O17" s="2" t="s">
        <v>34</v>
      </c>
      <c r="P17" s="2" t="s">
        <v>35</v>
      </c>
    </row>
    <row r="18" spans="2:16" s="3" customFormat="1" ht="14.5" thickBot="1" x14ac:dyDescent="0.35">
      <c r="B18" s="77"/>
      <c r="C18" s="52" t="s">
        <v>36</v>
      </c>
      <c r="D18" s="278" t="s">
        <v>37</v>
      </c>
      <c r="E18" s="21"/>
      <c r="G18" s="2"/>
      <c r="H18" s="4" t="s">
        <v>38</v>
      </c>
      <c r="I18" s="2"/>
      <c r="J18" s="2"/>
      <c r="K18" s="2" t="s">
        <v>39</v>
      </c>
      <c r="L18" s="2">
        <v>5</v>
      </c>
      <c r="M18" s="2">
        <v>5</v>
      </c>
      <c r="N18" s="2" t="s">
        <v>40</v>
      </c>
      <c r="O18" s="2" t="s">
        <v>41</v>
      </c>
      <c r="P18" s="2" t="s">
        <v>42</v>
      </c>
    </row>
    <row r="19" spans="2:16" s="3" customFormat="1" ht="42.5" thickBot="1" x14ac:dyDescent="0.35">
      <c r="B19" s="975" t="s">
        <v>43</v>
      </c>
      <c r="C19" s="976"/>
      <c r="D19" s="346" t="s">
        <v>1035</v>
      </c>
      <c r="E19" s="21"/>
      <c r="G19" s="2"/>
      <c r="H19" s="4" t="s">
        <v>44</v>
      </c>
      <c r="I19" s="2"/>
      <c r="J19" s="2"/>
      <c r="K19" s="2" t="s">
        <v>45</v>
      </c>
      <c r="L19" s="2"/>
      <c r="M19" s="2"/>
      <c r="N19" s="2"/>
      <c r="O19" s="2" t="s">
        <v>46</v>
      </c>
      <c r="P19" s="2" t="s">
        <v>47</v>
      </c>
    </row>
    <row r="20" spans="2:16" s="3" customFormat="1" x14ac:dyDescent="0.3">
      <c r="B20" s="76"/>
      <c r="C20" s="52"/>
      <c r="D20" s="23"/>
      <c r="E20" s="50"/>
      <c r="F20" s="4"/>
      <c r="G20" s="2"/>
      <c r="H20" s="2"/>
      <c r="J20" s="2"/>
      <c r="K20" s="2"/>
      <c r="L20" s="2"/>
      <c r="M20" s="2" t="s">
        <v>48</v>
      </c>
      <c r="N20" s="2" t="s">
        <v>49</v>
      </c>
    </row>
    <row r="21" spans="2:16" s="3" customFormat="1" x14ac:dyDescent="0.3">
      <c r="B21" s="76"/>
      <c r="C21" s="78" t="s">
        <v>50</v>
      </c>
      <c r="D21" s="23"/>
      <c r="E21" s="50"/>
      <c r="F21" s="4"/>
      <c r="G21" s="2"/>
      <c r="H21" s="2"/>
      <c r="J21" s="2"/>
      <c r="K21" s="2"/>
      <c r="L21" s="2"/>
      <c r="M21" s="2" t="s">
        <v>51</v>
      </c>
      <c r="N21" s="2" t="s">
        <v>52</v>
      </c>
    </row>
    <row r="22" spans="2:16" s="3" customFormat="1" ht="14.5" thickBot="1" x14ac:dyDescent="0.35">
      <c r="B22" s="76"/>
      <c r="C22" s="79" t="s">
        <v>53</v>
      </c>
      <c r="D22" s="23"/>
      <c r="E22" s="21"/>
      <c r="G22" s="2"/>
      <c r="H22" s="4" t="s">
        <v>54</v>
      </c>
      <c r="I22" s="2"/>
      <c r="J22" s="2"/>
      <c r="L22" s="2"/>
      <c r="M22" s="2"/>
      <c r="N22" s="2"/>
      <c r="O22" s="2" t="s">
        <v>55</v>
      </c>
      <c r="P22" s="2" t="s">
        <v>56</v>
      </c>
    </row>
    <row r="23" spans="2:16" s="3" customFormat="1" x14ac:dyDescent="0.3">
      <c r="B23" s="972" t="s">
        <v>57</v>
      </c>
      <c r="C23" s="974"/>
      <c r="D23" s="977" t="s">
        <v>58</v>
      </c>
      <c r="E23" s="21"/>
      <c r="G23" s="2"/>
      <c r="H23" s="4"/>
      <c r="I23" s="2"/>
      <c r="J23" s="2"/>
      <c r="L23" s="2"/>
      <c r="M23" s="2"/>
      <c r="N23" s="2"/>
      <c r="O23" s="2"/>
      <c r="P23" s="2"/>
    </row>
    <row r="24" spans="2:16" s="3" customFormat="1" x14ac:dyDescent="0.3">
      <c r="B24" s="972"/>
      <c r="C24" s="974"/>
      <c r="D24" s="978"/>
      <c r="E24" s="21"/>
      <c r="G24" s="2"/>
      <c r="H24" s="4"/>
      <c r="I24" s="2"/>
      <c r="J24" s="2"/>
      <c r="L24" s="2"/>
      <c r="M24" s="2"/>
      <c r="N24" s="2"/>
      <c r="O24" s="2"/>
      <c r="P24" s="2"/>
    </row>
    <row r="25" spans="2:16" s="3" customFormat="1" x14ac:dyDescent="0.3">
      <c r="B25" s="972" t="s">
        <v>59</v>
      </c>
      <c r="C25" s="974"/>
      <c r="D25" s="279" t="s">
        <v>60</v>
      </c>
      <c r="E25" s="21"/>
      <c r="F25" s="2"/>
      <c r="G25" s="4"/>
      <c r="H25" s="2"/>
      <c r="I25" s="2"/>
      <c r="K25" s="2"/>
      <c r="L25" s="2"/>
      <c r="M25" s="2"/>
      <c r="N25" s="2" t="s">
        <v>61</v>
      </c>
      <c r="O25" s="2" t="s">
        <v>62</v>
      </c>
    </row>
    <row r="26" spans="2:16" s="3" customFormat="1" x14ac:dyDescent="0.3">
      <c r="B26" s="972" t="s">
        <v>63</v>
      </c>
      <c r="C26" s="974"/>
      <c r="D26" s="279" t="s">
        <v>64</v>
      </c>
      <c r="E26" s="21"/>
      <c r="F26" s="2"/>
      <c r="G26" s="4"/>
      <c r="H26" s="2"/>
      <c r="I26" s="2"/>
      <c r="K26" s="2"/>
      <c r="L26" s="2"/>
      <c r="M26" s="2"/>
      <c r="N26" s="2" t="s">
        <v>65</v>
      </c>
      <c r="O26" s="2" t="s">
        <v>66</v>
      </c>
    </row>
    <row r="27" spans="2:16" s="3" customFormat="1" x14ac:dyDescent="0.3">
      <c r="B27" s="972" t="s">
        <v>67</v>
      </c>
      <c r="C27" s="974"/>
      <c r="D27" s="279" t="s">
        <v>1036</v>
      </c>
      <c r="E27" s="54"/>
      <c r="F27" s="2"/>
      <c r="G27" s="4"/>
      <c r="H27" s="2"/>
      <c r="I27" s="2"/>
      <c r="J27" s="2"/>
      <c r="K27" s="2"/>
      <c r="L27" s="2"/>
      <c r="M27" s="2"/>
      <c r="N27" s="2"/>
      <c r="O27" s="2"/>
    </row>
    <row r="28" spans="2:16" s="3" customFormat="1" ht="14.5" thickBot="1" x14ac:dyDescent="0.35">
      <c r="B28" s="76"/>
      <c r="C28" s="53" t="s">
        <v>68</v>
      </c>
      <c r="D28" s="142" t="s">
        <v>1636</v>
      </c>
      <c r="E28" s="21"/>
      <c r="F28" s="2"/>
      <c r="G28" s="4"/>
      <c r="H28" s="2"/>
      <c r="I28" s="2"/>
      <c r="J28" s="2"/>
      <c r="K28" s="2"/>
      <c r="L28" s="2"/>
      <c r="M28" s="2"/>
      <c r="N28" s="2"/>
      <c r="O28" s="2"/>
    </row>
    <row r="29" spans="2:16" s="3" customFormat="1" x14ac:dyDescent="0.3">
      <c r="B29" s="76"/>
      <c r="C29" s="57"/>
      <c r="D29" s="55"/>
      <c r="E29" s="21"/>
      <c r="F29" s="2"/>
      <c r="G29" s="4"/>
      <c r="H29" s="2"/>
      <c r="I29" s="2"/>
      <c r="J29" s="2"/>
      <c r="K29" s="2"/>
      <c r="L29" s="2"/>
      <c r="M29" s="2"/>
      <c r="N29" s="2"/>
      <c r="O29" s="2"/>
    </row>
    <row r="30" spans="2:16" s="3" customFormat="1" ht="14.5" thickBot="1" x14ac:dyDescent="0.35">
      <c r="B30" s="76"/>
      <c r="C30" s="57"/>
      <c r="D30" s="56" t="s">
        <v>69</v>
      </c>
      <c r="E30" s="21"/>
      <c r="G30" s="2"/>
      <c r="H30" s="4" t="s">
        <v>70</v>
      </c>
      <c r="I30" s="2"/>
      <c r="J30" s="2"/>
      <c r="K30" s="2"/>
      <c r="L30" s="2"/>
      <c r="M30" s="2"/>
      <c r="N30" s="2"/>
      <c r="O30" s="2"/>
      <c r="P30" s="2"/>
    </row>
    <row r="31" spans="2:16" s="3" customFormat="1" ht="378.5" thickBot="1" x14ac:dyDescent="0.35">
      <c r="B31" s="76"/>
      <c r="C31" s="57"/>
      <c r="D31" s="113" t="s">
        <v>1539</v>
      </c>
      <c r="E31" s="21"/>
      <c r="F31" s="5"/>
      <c r="G31" s="2"/>
      <c r="H31" s="4" t="s">
        <v>71</v>
      </c>
      <c r="I31" s="2"/>
      <c r="J31" s="2"/>
      <c r="K31" s="2"/>
      <c r="L31" s="2"/>
      <c r="M31" s="2"/>
      <c r="N31" s="2"/>
      <c r="O31" s="2"/>
      <c r="P31" s="2"/>
    </row>
    <row r="32" spans="2:16" s="3" customFormat="1" ht="14.5" thickBot="1" x14ac:dyDescent="0.35">
      <c r="B32" s="972" t="s">
        <v>72</v>
      </c>
      <c r="C32" s="973"/>
      <c r="D32" s="23"/>
      <c r="E32" s="21"/>
      <c r="G32" s="2"/>
      <c r="H32" s="4" t="s">
        <v>73</v>
      </c>
      <c r="I32" s="2"/>
      <c r="J32" s="2"/>
      <c r="K32" s="2"/>
      <c r="L32" s="2"/>
      <c r="M32" s="2"/>
      <c r="N32" s="2"/>
      <c r="O32" s="2"/>
      <c r="P32" s="2"/>
    </row>
    <row r="33" spans="1:16" s="3" customFormat="1" ht="14.5" thickBot="1" x14ac:dyDescent="0.35">
      <c r="B33" s="76"/>
      <c r="C33" s="57"/>
      <c r="D33" s="9" t="s">
        <v>74</v>
      </c>
      <c r="E33" s="21"/>
      <c r="G33" s="2"/>
      <c r="H33" s="4" t="s">
        <v>75</v>
      </c>
      <c r="I33" s="2"/>
      <c r="J33" s="2"/>
      <c r="K33" s="2"/>
      <c r="L33" s="2"/>
      <c r="M33" s="2"/>
      <c r="N33" s="2"/>
      <c r="O33" s="2"/>
      <c r="P33" s="2"/>
    </row>
    <row r="34" spans="1:16" s="3" customFormat="1" x14ac:dyDescent="0.3">
      <c r="B34" s="76"/>
      <c r="C34" s="57"/>
      <c r="D34" s="23"/>
      <c r="E34" s="21"/>
      <c r="F34" s="5"/>
      <c r="G34" s="2"/>
      <c r="H34" s="4" t="s">
        <v>76</v>
      </c>
      <c r="I34" s="2"/>
      <c r="J34" s="2"/>
      <c r="K34" s="2"/>
      <c r="L34" s="2"/>
      <c r="M34" s="2"/>
      <c r="N34" s="2"/>
      <c r="O34" s="2"/>
      <c r="P34" s="2"/>
    </row>
    <row r="35" spans="1:16" s="3" customFormat="1" x14ac:dyDescent="0.3">
      <c r="B35" s="76"/>
      <c r="C35" s="80" t="s">
        <v>77</v>
      </c>
      <c r="D35" s="23"/>
      <c r="E35" s="21"/>
      <c r="G35" s="2"/>
      <c r="H35" s="4" t="s">
        <v>78</v>
      </c>
      <c r="I35" s="2"/>
      <c r="J35" s="2"/>
      <c r="K35" s="2"/>
      <c r="L35" s="2"/>
      <c r="M35" s="2"/>
      <c r="N35" s="2"/>
      <c r="O35" s="2"/>
      <c r="P35" s="2"/>
    </row>
    <row r="36" spans="1:16" s="3" customFormat="1" ht="14.5" thickBot="1" x14ac:dyDescent="0.35">
      <c r="B36" s="972" t="s">
        <v>79</v>
      </c>
      <c r="C36" s="973"/>
      <c r="D36" s="23"/>
      <c r="E36" s="21"/>
      <c r="G36" s="2"/>
      <c r="H36" s="4" t="s">
        <v>80</v>
      </c>
      <c r="I36" s="2"/>
      <c r="J36" s="2"/>
      <c r="K36" s="2"/>
      <c r="L36" s="2"/>
      <c r="M36" s="2"/>
      <c r="N36" s="2"/>
      <c r="O36" s="2"/>
      <c r="P36" s="2"/>
    </row>
    <row r="37" spans="1:16" s="3" customFormat="1" x14ac:dyDescent="0.3">
      <c r="B37" s="76"/>
      <c r="C37" s="57" t="s">
        <v>81</v>
      </c>
      <c r="D37" s="114" t="s">
        <v>82</v>
      </c>
      <c r="E37" s="21"/>
      <c r="G37" s="2"/>
      <c r="H37" s="4" t="s">
        <v>83</v>
      </c>
      <c r="I37" s="2"/>
      <c r="J37" s="2"/>
      <c r="K37" s="2"/>
      <c r="L37" s="2"/>
      <c r="M37" s="2"/>
      <c r="N37" s="2"/>
      <c r="O37" s="2"/>
      <c r="P37" s="2"/>
    </row>
    <row r="38" spans="1:16" s="3" customFormat="1" ht="14.5" x14ac:dyDescent="0.35">
      <c r="B38" s="76"/>
      <c r="C38" s="57" t="s">
        <v>84</v>
      </c>
      <c r="D38" s="280" t="s">
        <v>85</v>
      </c>
      <c r="E38" s="21"/>
      <c r="G38" s="2"/>
      <c r="H38" s="4" t="s">
        <v>37</v>
      </c>
      <c r="I38" s="2"/>
      <c r="J38" s="2"/>
      <c r="K38" s="2"/>
      <c r="L38" s="2"/>
      <c r="M38" s="2"/>
      <c r="N38" s="2"/>
      <c r="O38" s="2"/>
      <c r="P38" s="2"/>
    </row>
    <row r="39" spans="1:16" s="3" customFormat="1" ht="14.5" thickBot="1" x14ac:dyDescent="0.35">
      <c r="B39" s="76"/>
      <c r="C39" s="57" t="s">
        <v>86</v>
      </c>
      <c r="D39" s="11"/>
      <c r="E39" s="21"/>
      <c r="G39" s="2"/>
      <c r="H39" s="4" t="s">
        <v>87</v>
      </c>
      <c r="I39" s="2"/>
      <c r="J39" s="2"/>
      <c r="K39" s="2"/>
      <c r="L39" s="2"/>
      <c r="M39" s="2"/>
      <c r="N39" s="2"/>
      <c r="O39" s="2"/>
      <c r="P39" s="2"/>
    </row>
    <row r="40" spans="1:16" s="3" customFormat="1" ht="14.5" thickBot="1" x14ac:dyDescent="0.35">
      <c r="B40" s="76"/>
      <c r="C40" s="53" t="s">
        <v>88</v>
      </c>
      <c r="D40" s="23"/>
      <c r="E40" s="21"/>
      <c r="G40" s="2"/>
      <c r="H40" s="4" t="s">
        <v>89</v>
      </c>
      <c r="I40" s="2"/>
      <c r="J40" s="2"/>
      <c r="K40" s="2"/>
      <c r="L40" s="2"/>
      <c r="M40" s="2"/>
      <c r="N40" s="2"/>
      <c r="O40" s="2"/>
      <c r="P40" s="2"/>
    </row>
    <row r="41" spans="1:16" s="3" customFormat="1" x14ac:dyDescent="0.3">
      <c r="B41" s="76"/>
      <c r="C41" s="57" t="s">
        <v>81</v>
      </c>
      <c r="D41" s="10" t="s">
        <v>949</v>
      </c>
      <c r="E41" s="21"/>
      <c r="G41" s="2"/>
      <c r="H41" s="4" t="s">
        <v>90</v>
      </c>
      <c r="I41" s="2"/>
      <c r="J41" s="2"/>
      <c r="K41" s="2"/>
      <c r="L41" s="2"/>
      <c r="M41" s="2"/>
      <c r="N41" s="2"/>
      <c r="O41" s="2"/>
      <c r="P41" s="2"/>
    </row>
    <row r="42" spans="1:16" s="3" customFormat="1" ht="14.5" x14ac:dyDescent="0.35">
      <c r="B42" s="76"/>
      <c r="C42" s="57" t="s">
        <v>84</v>
      </c>
      <c r="D42" s="281" t="s">
        <v>950</v>
      </c>
      <c r="E42" s="21"/>
      <c r="G42" s="2"/>
      <c r="H42" s="4" t="s">
        <v>91</v>
      </c>
      <c r="I42" s="2"/>
      <c r="J42" s="2"/>
      <c r="K42" s="2"/>
      <c r="L42" s="2"/>
      <c r="M42" s="2"/>
      <c r="N42" s="2"/>
      <c r="O42" s="2"/>
      <c r="P42" s="2"/>
    </row>
    <row r="43" spans="1:16" s="3" customFormat="1" ht="14.5" thickBot="1" x14ac:dyDescent="0.35">
      <c r="B43" s="76"/>
      <c r="C43" s="57" t="s">
        <v>86</v>
      </c>
      <c r="D43" s="11"/>
      <c r="E43" s="21"/>
      <c r="G43" s="2"/>
      <c r="H43" s="4" t="s">
        <v>92</v>
      </c>
      <c r="I43" s="2"/>
      <c r="J43" s="2"/>
      <c r="K43" s="2"/>
      <c r="L43" s="2"/>
      <c r="M43" s="2"/>
      <c r="N43" s="2"/>
      <c r="O43" s="2"/>
      <c r="P43" s="2"/>
    </row>
    <row r="44" spans="1:16" s="3" customFormat="1" ht="14.5" thickBot="1" x14ac:dyDescent="0.35">
      <c r="B44" s="76"/>
      <c r="C44" s="53" t="s">
        <v>93</v>
      </c>
      <c r="D44" s="23"/>
      <c r="E44" s="21"/>
      <c r="G44" s="2"/>
      <c r="H44" s="4" t="s">
        <v>94</v>
      </c>
      <c r="I44" s="2"/>
      <c r="J44" s="2"/>
      <c r="K44" s="2"/>
      <c r="L44" s="2"/>
      <c r="M44" s="2"/>
      <c r="N44" s="2"/>
      <c r="O44" s="2"/>
      <c r="P44" s="2"/>
    </row>
    <row r="45" spans="1:16" s="3" customFormat="1" x14ac:dyDescent="0.3">
      <c r="B45" s="76"/>
      <c r="C45" s="57" t="s">
        <v>81</v>
      </c>
      <c r="D45" s="10" t="s">
        <v>1037</v>
      </c>
      <c r="E45" s="21"/>
      <c r="G45" s="2"/>
      <c r="H45" s="4" t="s">
        <v>95</v>
      </c>
      <c r="I45" s="2"/>
      <c r="J45" s="2"/>
      <c r="K45" s="2"/>
      <c r="L45" s="2"/>
      <c r="M45" s="2"/>
      <c r="N45" s="2"/>
      <c r="O45" s="2"/>
      <c r="P45" s="2"/>
    </row>
    <row r="46" spans="1:16" s="3" customFormat="1" ht="14.5" x14ac:dyDescent="0.35">
      <c r="B46" s="76"/>
      <c r="C46" s="57" t="s">
        <v>84</v>
      </c>
      <c r="D46" s="281" t="s">
        <v>96</v>
      </c>
      <c r="E46" s="21"/>
      <c r="G46" s="2"/>
      <c r="H46" s="4" t="s">
        <v>97</v>
      </c>
      <c r="I46" s="2"/>
      <c r="J46" s="2"/>
      <c r="K46" s="2"/>
      <c r="L46" s="2"/>
      <c r="M46" s="2"/>
      <c r="N46" s="2"/>
      <c r="O46" s="2"/>
      <c r="P46" s="2"/>
    </row>
    <row r="47" spans="1:16" ht="14.5" thickBot="1" x14ac:dyDescent="0.35">
      <c r="A47" s="3"/>
      <c r="B47" s="76"/>
      <c r="C47" s="57" t="s">
        <v>86</v>
      </c>
      <c r="D47" s="11"/>
      <c r="E47" s="21"/>
      <c r="H47" s="4" t="s">
        <v>98</v>
      </c>
    </row>
    <row r="48" spans="1:16" ht="14.5" thickBot="1" x14ac:dyDescent="0.35">
      <c r="B48" s="76"/>
      <c r="C48" s="53" t="s">
        <v>99</v>
      </c>
      <c r="D48" s="23"/>
      <c r="E48" s="21"/>
      <c r="H48" s="4" t="s">
        <v>100</v>
      </c>
    </row>
    <row r="49" spans="2:8" x14ac:dyDescent="0.3">
      <c r="B49" s="76"/>
      <c r="C49" s="57" t="s">
        <v>81</v>
      </c>
      <c r="D49" s="10" t="s">
        <v>101</v>
      </c>
      <c r="E49" s="21"/>
      <c r="H49" s="4" t="s">
        <v>102</v>
      </c>
    </row>
    <row r="50" spans="2:8" ht="14.5" x14ac:dyDescent="0.35">
      <c r="B50" s="76"/>
      <c r="C50" s="57" t="s">
        <v>84</v>
      </c>
      <c r="D50" s="281" t="s">
        <v>103</v>
      </c>
      <c r="E50" s="21"/>
      <c r="H50" s="4" t="s">
        <v>104</v>
      </c>
    </row>
    <row r="51" spans="2:8" ht="14.5" thickBot="1" x14ac:dyDescent="0.35">
      <c r="B51" s="76"/>
      <c r="C51" s="57" t="s">
        <v>86</v>
      </c>
      <c r="D51" s="11"/>
      <c r="E51" s="21"/>
      <c r="H51" s="4" t="s">
        <v>105</v>
      </c>
    </row>
    <row r="52" spans="2:8" ht="14.5" thickBot="1" x14ac:dyDescent="0.35">
      <c r="B52" s="76"/>
      <c r="C52" s="53" t="s">
        <v>99</v>
      </c>
      <c r="D52" s="23"/>
      <c r="E52" s="21"/>
      <c r="H52" s="4" t="s">
        <v>106</v>
      </c>
    </row>
    <row r="53" spans="2:8" x14ac:dyDescent="0.3">
      <c r="B53" s="76"/>
      <c r="C53" s="57" t="s">
        <v>81</v>
      </c>
      <c r="D53" s="114" t="s">
        <v>951</v>
      </c>
      <c r="E53" s="21"/>
      <c r="H53" s="4" t="s">
        <v>107</v>
      </c>
    </row>
    <row r="54" spans="2:8" ht="14.5" x14ac:dyDescent="0.35">
      <c r="B54" s="76"/>
      <c r="C54" s="57" t="s">
        <v>84</v>
      </c>
      <c r="D54" s="281" t="s">
        <v>952</v>
      </c>
      <c r="E54" s="21"/>
      <c r="H54" s="4" t="s">
        <v>108</v>
      </c>
    </row>
    <row r="55" spans="2:8" ht="14.5" thickBot="1" x14ac:dyDescent="0.35">
      <c r="B55" s="76"/>
      <c r="C55" s="57" t="s">
        <v>86</v>
      </c>
      <c r="D55" s="11"/>
      <c r="E55" s="21"/>
      <c r="H55" s="4" t="s">
        <v>109</v>
      </c>
    </row>
    <row r="56" spans="2:8" ht="14.5" thickBot="1" x14ac:dyDescent="0.35">
      <c r="B56" s="76"/>
      <c r="C56" s="53" t="s">
        <v>99</v>
      </c>
      <c r="D56" s="23"/>
      <c r="E56" s="21"/>
      <c r="H56" s="4"/>
    </row>
    <row r="57" spans="2:8" x14ac:dyDescent="0.3">
      <c r="B57" s="76"/>
      <c r="C57" s="57" t="s">
        <v>81</v>
      </c>
      <c r="D57" s="114" t="s">
        <v>110</v>
      </c>
      <c r="E57" s="21"/>
      <c r="H57" s="4"/>
    </row>
    <row r="58" spans="2:8" ht="14.5" x14ac:dyDescent="0.35">
      <c r="B58" s="76"/>
      <c r="C58" s="57" t="s">
        <v>84</v>
      </c>
      <c r="D58" s="280" t="s">
        <v>111</v>
      </c>
      <c r="E58" s="21"/>
      <c r="H58" s="4"/>
    </row>
    <row r="59" spans="2:8" ht="14.5" thickBot="1" x14ac:dyDescent="0.35">
      <c r="B59" s="76"/>
      <c r="C59" s="57" t="s">
        <v>86</v>
      </c>
      <c r="D59" s="11"/>
      <c r="E59" s="21"/>
      <c r="H59" s="4"/>
    </row>
    <row r="60" spans="2:8" ht="14.5" thickBot="1" x14ac:dyDescent="0.35">
      <c r="B60" s="76"/>
      <c r="C60" s="53" t="s">
        <v>99</v>
      </c>
      <c r="D60" s="23"/>
      <c r="E60" s="21"/>
      <c r="H60" s="4" t="s">
        <v>112</v>
      </c>
    </row>
    <row r="61" spans="2:8" x14ac:dyDescent="0.3">
      <c r="B61" s="76"/>
      <c r="C61" s="57" t="s">
        <v>81</v>
      </c>
      <c r="D61" s="114"/>
      <c r="E61" s="21"/>
      <c r="H61" s="4" t="s">
        <v>113</v>
      </c>
    </row>
    <row r="62" spans="2:8" ht="14.5" x14ac:dyDescent="0.35">
      <c r="B62" s="76"/>
      <c r="C62" s="57" t="s">
        <v>84</v>
      </c>
      <c r="D62" s="281"/>
      <c r="E62" s="21"/>
      <c r="H62" s="4" t="s">
        <v>114</v>
      </c>
    </row>
    <row r="63" spans="2:8" ht="14.5" thickBot="1" x14ac:dyDescent="0.35">
      <c r="B63" s="76"/>
      <c r="C63" s="57" t="s">
        <v>86</v>
      </c>
      <c r="D63" s="11"/>
      <c r="E63" s="21"/>
      <c r="H63" s="4" t="s">
        <v>115</v>
      </c>
    </row>
    <row r="64" spans="2:8" ht="14.5" thickBot="1" x14ac:dyDescent="0.35">
      <c r="B64" s="81"/>
      <c r="C64" s="82"/>
      <c r="D64" s="58"/>
      <c r="E64" s="27"/>
      <c r="H64" s="4" t="s">
        <v>116</v>
      </c>
    </row>
    <row r="65" spans="8:8" x14ac:dyDescent="0.3">
      <c r="H65" s="4" t="s">
        <v>117</v>
      </c>
    </row>
    <row r="66" spans="8:8" x14ac:dyDescent="0.3">
      <c r="H66" s="4" t="s">
        <v>118</v>
      </c>
    </row>
    <row r="67" spans="8:8" x14ac:dyDescent="0.3">
      <c r="H67" s="4" t="s">
        <v>119</v>
      </c>
    </row>
    <row r="68" spans="8:8" x14ac:dyDescent="0.3">
      <c r="H68" s="4" t="s">
        <v>120</v>
      </c>
    </row>
    <row r="69" spans="8:8" x14ac:dyDescent="0.3">
      <c r="H69" s="4" t="s">
        <v>121</v>
      </c>
    </row>
    <row r="70" spans="8:8" x14ac:dyDescent="0.3">
      <c r="H70" s="4" t="s">
        <v>122</v>
      </c>
    </row>
    <row r="71" spans="8:8" x14ac:dyDescent="0.3">
      <c r="H71" s="4" t="s">
        <v>123</v>
      </c>
    </row>
    <row r="72" spans="8:8" x14ac:dyDescent="0.3">
      <c r="H72" s="4" t="s">
        <v>124</v>
      </c>
    </row>
    <row r="73" spans="8:8" x14ac:dyDescent="0.3">
      <c r="H73" s="4" t="s">
        <v>125</v>
      </c>
    </row>
    <row r="74" spans="8:8" x14ac:dyDescent="0.3">
      <c r="H74" s="4" t="s">
        <v>126</v>
      </c>
    </row>
    <row r="75" spans="8:8" x14ac:dyDescent="0.3">
      <c r="H75" s="4" t="s">
        <v>127</v>
      </c>
    </row>
    <row r="76" spans="8:8" x14ac:dyDescent="0.3">
      <c r="H76" s="4" t="s">
        <v>128</v>
      </c>
    </row>
    <row r="77" spans="8:8" x14ac:dyDescent="0.3">
      <c r="H77" s="4" t="s">
        <v>129</v>
      </c>
    </row>
    <row r="78" spans="8:8" x14ac:dyDescent="0.3">
      <c r="H78" s="4" t="s">
        <v>130</v>
      </c>
    </row>
    <row r="79" spans="8:8" x14ac:dyDescent="0.3">
      <c r="H79" s="4" t="s">
        <v>131</v>
      </c>
    </row>
    <row r="80" spans="8:8" x14ac:dyDescent="0.3">
      <c r="H80" s="4" t="s">
        <v>132</v>
      </c>
    </row>
    <row r="81" spans="8:8" x14ac:dyDescent="0.3">
      <c r="H81" s="4" t="s">
        <v>133</v>
      </c>
    </row>
    <row r="82" spans="8:8" x14ac:dyDescent="0.3">
      <c r="H82" s="4" t="s">
        <v>134</v>
      </c>
    </row>
    <row r="83" spans="8:8" x14ac:dyDescent="0.3">
      <c r="H83" s="4" t="s">
        <v>135</v>
      </c>
    </row>
    <row r="84" spans="8:8" x14ac:dyDescent="0.3">
      <c r="H84" s="4" t="s">
        <v>136</v>
      </c>
    </row>
    <row r="85" spans="8:8" x14ac:dyDescent="0.3">
      <c r="H85" s="4" t="s">
        <v>137</v>
      </c>
    </row>
    <row r="86" spans="8:8" x14ac:dyDescent="0.3">
      <c r="H86" s="4" t="s">
        <v>138</v>
      </c>
    </row>
    <row r="87" spans="8:8" x14ac:dyDescent="0.3">
      <c r="H87" s="4" t="s">
        <v>139</v>
      </c>
    </row>
    <row r="88" spans="8:8" x14ac:dyDescent="0.3">
      <c r="H88" s="4" t="s">
        <v>140</v>
      </c>
    </row>
    <row r="89" spans="8:8" x14ac:dyDescent="0.3">
      <c r="H89" s="4" t="s">
        <v>141</v>
      </c>
    </row>
    <row r="90" spans="8:8" x14ac:dyDescent="0.3">
      <c r="H90" s="4" t="s">
        <v>142</v>
      </c>
    </row>
    <row r="91" spans="8:8" x14ac:dyDescent="0.3">
      <c r="H91" s="4" t="s">
        <v>143</v>
      </c>
    </row>
    <row r="92" spans="8:8" x14ac:dyDescent="0.3">
      <c r="H92" s="4" t="s">
        <v>144</v>
      </c>
    </row>
    <row r="93" spans="8:8" x14ac:dyDescent="0.3">
      <c r="H93" s="4" t="s">
        <v>145</v>
      </c>
    </row>
    <row r="94" spans="8:8" x14ac:dyDescent="0.3">
      <c r="H94" s="4" t="s">
        <v>146</v>
      </c>
    </row>
    <row r="95" spans="8:8" x14ac:dyDescent="0.3">
      <c r="H95" s="4" t="s">
        <v>147</v>
      </c>
    </row>
    <row r="96" spans="8:8" x14ac:dyDescent="0.3">
      <c r="H96" s="4" t="s">
        <v>148</v>
      </c>
    </row>
    <row r="97" spans="8:8" x14ac:dyDescent="0.3">
      <c r="H97" s="4" t="s">
        <v>149</v>
      </c>
    </row>
    <row r="98" spans="8:8" x14ac:dyDescent="0.3">
      <c r="H98" s="4" t="s">
        <v>150</v>
      </c>
    </row>
    <row r="99" spans="8:8" x14ac:dyDescent="0.3">
      <c r="H99" s="4" t="s">
        <v>151</v>
      </c>
    </row>
    <row r="100" spans="8:8" x14ac:dyDescent="0.3">
      <c r="H100" s="4" t="s">
        <v>152</v>
      </c>
    </row>
    <row r="101" spans="8:8" x14ac:dyDescent="0.3">
      <c r="H101" s="4" t="s">
        <v>153</v>
      </c>
    </row>
    <row r="102" spans="8:8" x14ac:dyDescent="0.3">
      <c r="H102" s="4" t="s">
        <v>154</v>
      </c>
    </row>
    <row r="103" spans="8:8" x14ac:dyDescent="0.3">
      <c r="H103" s="4" t="s">
        <v>155</v>
      </c>
    </row>
    <row r="104" spans="8:8" x14ac:dyDescent="0.3">
      <c r="H104" s="4" t="s">
        <v>156</v>
      </c>
    </row>
    <row r="105" spans="8:8" x14ac:dyDescent="0.3">
      <c r="H105" s="4" t="s">
        <v>157</v>
      </c>
    </row>
    <row r="106" spans="8:8" x14ac:dyDescent="0.3">
      <c r="H106" s="4" t="s">
        <v>158</v>
      </c>
    </row>
    <row r="107" spans="8:8" x14ac:dyDescent="0.3">
      <c r="H107" s="4" t="s">
        <v>159</v>
      </c>
    </row>
    <row r="108" spans="8:8" x14ac:dyDescent="0.3">
      <c r="H108" s="4" t="s">
        <v>160</v>
      </c>
    </row>
    <row r="109" spans="8:8" x14ac:dyDescent="0.3">
      <c r="H109" s="4" t="s">
        <v>161</v>
      </c>
    </row>
    <row r="110" spans="8:8" x14ac:dyDescent="0.3">
      <c r="H110" s="4" t="s">
        <v>162</v>
      </c>
    </row>
    <row r="111" spans="8:8" x14ac:dyDescent="0.3">
      <c r="H111" s="4" t="s">
        <v>163</v>
      </c>
    </row>
    <row r="112" spans="8:8" x14ac:dyDescent="0.3">
      <c r="H112" s="4" t="s">
        <v>164</v>
      </c>
    </row>
    <row r="113" spans="8:8" x14ac:dyDescent="0.3">
      <c r="H113" s="4" t="s">
        <v>165</v>
      </c>
    </row>
    <row r="114" spans="8:8" x14ac:dyDescent="0.3">
      <c r="H114" s="4" t="s">
        <v>166</v>
      </c>
    </row>
    <row r="115" spans="8:8" x14ac:dyDescent="0.3">
      <c r="H115" s="4" t="s">
        <v>167</v>
      </c>
    </row>
    <row r="116" spans="8:8" x14ac:dyDescent="0.3">
      <c r="H116" s="4" t="s">
        <v>168</v>
      </c>
    </row>
    <row r="117" spans="8:8" x14ac:dyDescent="0.3">
      <c r="H117" s="4" t="s">
        <v>169</v>
      </c>
    </row>
    <row r="118" spans="8:8" x14ac:dyDescent="0.3">
      <c r="H118" s="4" t="s">
        <v>170</v>
      </c>
    </row>
    <row r="119" spans="8:8" x14ac:dyDescent="0.3">
      <c r="H119" s="4" t="s">
        <v>171</v>
      </c>
    </row>
    <row r="120" spans="8:8" x14ac:dyDescent="0.3">
      <c r="H120" s="4" t="s">
        <v>172</v>
      </c>
    </row>
    <row r="121" spans="8:8" x14ac:dyDescent="0.3">
      <c r="H121" s="4" t="s">
        <v>173</v>
      </c>
    </row>
    <row r="122" spans="8:8" x14ac:dyDescent="0.3">
      <c r="H122" s="4" t="s">
        <v>174</v>
      </c>
    </row>
    <row r="123" spans="8:8" x14ac:dyDescent="0.3">
      <c r="H123" s="4" t="s">
        <v>175</v>
      </c>
    </row>
    <row r="124" spans="8:8" x14ac:dyDescent="0.3">
      <c r="H124" s="4" t="s">
        <v>176</v>
      </c>
    </row>
    <row r="125" spans="8:8" x14ac:dyDescent="0.3">
      <c r="H125" s="4" t="s">
        <v>177</v>
      </c>
    </row>
    <row r="126" spans="8:8" x14ac:dyDescent="0.3">
      <c r="H126" s="4" t="s">
        <v>178</v>
      </c>
    </row>
    <row r="127" spans="8:8" x14ac:dyDescent="0.3">
      <c r="H127" s="4" t="s">
        <v>179</v>
      </c>
    </row>
    <row r="128" spans="8:8" x14ac:dyDescent="0.3">
      <c r="H128" s="4" t="s">
        <v>180</v>
      </c>
    </row>
    <row r="129" spans="8:8" x14ac:dyDescent="0.3">
      <c r="H129" s="4" t="s">
        <v>181</v>
      </c>
    </row>
    <row r="130" spans="8:8" x14ac:dyDescent="0.3">
      <c r="H130" s="4" t="s">
        <v>182</v>
      </c>
    </row>
    <row r="131" spans="8:8" x14ac:dyDescent="0.3">
      <c r="H131" s="4" t="s">
        <v>183</v>
      </c>
    </row>
    <row r="132" spans="8:8" x14ac:dyDescent="0.3">
      <c r="H132" s="4" t="s">
        <v>184</v>
      </c>
    </row>
    <row r="133" spans="8:8" x14ac:dyDescent="0.3">
      <c r="H133" s="4" t="s">
        <v>185</v>
      </c>
    </row>
    <row r="134" spans="8:8" x14ac:dyDescent="0.3">
      <c r="H134" s="4" t="s">
        <v>186</v>
      </c>
    </row>
    <row r="135" spans="8:8" x14ac:dyDescent="0.3">
      <c r="H135" s="4" t="s">
        <v>187</v>
      </c>
    </row>
    <row r="136" spans="8:8" x14ac:dyDescent="0.3">
      <c r="H136" s="4" t="s">
        <v>188</v>
      </c>
    </row>
    <row r="137" spans="8:8" x14ac:dyDescent="0.3">
      <c r="H137" s="4" t="s">
        <v>189</v>
      </c>
    </row>
    <row r="138" spans="8:8" x14ac:dyDescent="0.3">
      <c r="H138" s="4" t="s">
        <v>190</v>
      </c>
    </row>
    <row r="139" spans="8:8" x14ac:dyDescent="0.3">
      <c r="H139" s="4" t="s">
        <v>191</v>
      </c>
    </row>
    <row r="140" spans="8:8" x14ac:dyDescent="0.3">
      <c r="H140" s="4" t="s">
        <v>192</v>
      </c>
    </row>
    <row r="141" spans="8:8" x14ac:dyDescent="0.3">
      <c r="H141" s="4" t="s">
        <v>193</v>
      </c>
    </row>
    <row r="142" spans="8:8" x14ac:dyDescent="0.3">
      <c r="H142" s="4" t="s">
        <v>194</v>
      </c>
    </row>
    <row r="143" spans="8:8" x14ac:dyDescent="0.3">
      <c r="H143" s="4" t="s">
        <v>195</v>
      </c>
    </row>
    <row r="144" spans="8:8" x14ac:dyDescent="0.3">
      <c r="H144" s="4" t="s">
        <v>196</v>
      </c>
    </row>
    <row r="145" spans="8:8" x14ac:dyDescent="0.3">
      <c r="H145" s="4" t="s">
        <v>197</v>
      </c>
    </row>
    <row r="146" spans="8:8" x14ac:dyDescent="0.3">
      <c r="H146" s="4" t="s">
        <v>198</v>
      </c>
    </row>
    <row r="147" spans="8:8" x14ac:dyDescent="0.3">
      <c r="H147" s="4" t="s">
        <v>199</v>
      </c>
    </row>
    <row r="148" spans="8:8" x14ac:dyDescent="0.3">
      <c r="H148" s="4" t="s">
        <v>200</v>
      </c>
    </row>
    <row r="149" spans="8:8" x14ac:dyDescent="0.3">
      <c r="H149" s="4" t="s">
        <v>201</v>
      </c>
    </row>
    <row r="150" spans="8:8" x14ac:dyDescent="0.3">
      <c r="H150" s="4" t="s">
        <v>202</v>
      </c>
    </row>
    <row r="151" spans="8:8" x14ac:dyDescent="0.3">
      <c r="H151" s="4" t="s">
        <v>203</v>
      </c>
    </row>
    <row r="152" spans="8:8" x14ac:dyDescent="0.3">
      <c r="H152" s="4" t="s">
        <v>204</v>
      </c>
    </row>
    <row r="153" spans="8:8" x14ac:dyDescent="0.3">
      <c r="H153" s="4" t="s">
        <v>205</v>
      </c>
    </row>
    <row r="154" spans="8:8" x14ac:dyDescent="0.3">
      <c r="H154" s="4" t="s">
        <v>206</v>
      </c>
    </row>
    <row r="155" spans="8:8" x14ac:dyDescent="0.3">
      <c r="H155" s="4" t="s">
        <v>207</v>
      </c>
    </row>
    <row r="156" spans="8:8" x14ac:dyDescent="0.3">
      <c r="H156" s="4" t="s">
        <v>208</v>
      </c>
    </row>
    <row r="157" spans="8:8" x14ac:dyDescent="0.3">
      <c r="H157" s="4" t="s">
        <v>209</v>
      </c>
    </row>
    <row r="158" spans="8:8" x14ac:dyDescent="0.3">
      <c r="H158" s="4" t="s">
        <v>210</v>
      </c>
    </row>
    <row r="159" spans="8:8" x14ac:dyDescent="0.3">
      <c r="H159" s="4" t="s">
        <v>211</v>
      </c>
    </row>
    <row r="160" spans="8:8" x14ac:dyDescent="0.3">
      <c r="H160" s="4" t="s">
        <v>212</v>
      </c>
    </row>
    <row r="161" spans="8:8" x14ac:dyDescent="0.3">
      <c r="H161" s="4" t="s">
        <v>213</v>
      </c>
    </row>
    <row r="162" spans="8:8" x14ac:dyDescent="0.3">
      <c r="H162" s="4" t="s">
        <v>214</v>
      </c>
    </row>
    <row r="163" spans="8:8" x14ac:dyDescent="0.3">
      <c r="H163" s="4" t="s">
        <v>215</v>
      </c>
    </row>
    <row r="164" spans="8:8" x14ac:dyDescent="0.3">
      <c r="H164" s="4" t="s">
        <v>216</v>
      </c>
    </row>
    <row r="165" spans="8:8" x14ac:dyDescent="0.3">
      <c r="H165" s="4" t="s">
        <v>217</v>
      </c>
    </row>
    <row r="166" spans="8:8" x14ac:dyDescent="0.3">
      <c r="H166" s="4" t="s">
        <v>218</v>
      </c>
    </row>
    <row r="167" spans="8:8" x14ac:dyDescent="0.3">
      <c r="H167" s="4" t="s">
        <v>219</v>
      </c>
    </row>
    <row r="168" spans="8:8" x14ac:dyDescent="0.3">
      <c r="H168" s="4" t="s">
        <v>220</v>
      </c>
    </row>
    <row r="169" spans="8:8" x14ac:dyDescent="0.3">
      <c r="H169" s="4" t="s">
        <v>221</v>
      </c>
    </row>
    <row r="170" spans="8:8" x14ac:dyDescent="0.3">
      <c r="H170" s="4" t="s">
        <v>222</v>
      </c>
    </row>
    <row r="171" spans="8:8" x14ac:dyDescent="0.3">
      <c r="H171" s="4" t="s">
        <v>223</v>
      </c>
    </row>
    <row r="172" spans="8:8" x14ac:dyDescent="0.3">
      <c r="H172" s="4" t="s">
        <v>224</v>
      </c>
    </row>
    <row r="173" spans="8:8" x14ac:dyDescent="0.3">
      <c r="H173" s="4" t="s">
        <v>225</v>
      </c>
    </row>
    <row r="174" spans="8:8" x14ac:dyDescent="0.3">
      <c r="H174" s="4" t="s">
        <v>226</v>
      </c>
    </row>
    <row r="175" spans="8:8" x14ac:dyDescent="0.3">
      <c r="H175" s="4" t="s">
        <v>227</v>
      </c>
    </row>
    <row r="176" spans="8:8" x14ac:dyDescent="0.3">
      <c r="H176" s="4" t="s">
        <v>228</v>
      </c>
    </row>
    <row r="177" spans="8:8" x14ac:dyDescent="0.3">
      <c r="H177" s="4" t="s">
        <v>229</v>
      </c>
    </row>
    <row r="178" spans="8:8" x14ac:dyDescent="0.3">
      <c r="H178" s="4" t="s">
        <v>230</v>
      </c>
    </row>
    <row r="179" spans="8:8" x14ac:dyDescent="0.3">
      <c r="H179" s="4" t="s">
        <v>231</v>
      </c>
    </row>
    <row r="180" spans="8:8" x14ac:dyDescent="0.3">
      <c r="H180" s="4" t="s">
        <v>232</v>
      </c>
    </row>
    <row r="181" spans="8:8" x14ac:dyDescent="0.3">
      <c r="H181" s="4" t="s">
        <v>233</v>
      </c>
    </row>
  </sheetData>
  <mergeCells count="9">
    <mergeCell ref="B36:C36"/>
    <mergeCell ref="B16:C16"/>
    <mergeCell ref="B19:C19"/>
    <mergeCell ref="B23:C24"/>
    <mergeCell ref="D23:D24"/>
    <mergeCell ref="B25:C25"/>
    <mergeCell ref="B26:C26"/>
    <mergeCell ref="B27:C27"/>
    <mergeCell ref="B32:C32"/>
  </mergeCells>
  <dataValidations count="5">
    <dataValidation type="list" allowBlank="1" showInputMessage="1" showErrorMessage="1" sqref="D65530:D65534 IV65530:IV65534">
      <formula1>$H$15:$H$181</formula1>
    </dataValidation>
    <dataValidation type="list" allowBlank="1" showInputMessage="1" showErrorMessage="1" sqref="D65529 IV65529">
      <formula1>$I$15:$I$17</formula1>
    </dataValidation>
    <dataValidation type="list" allowBlank="1" showInputMessage="1" showErrorMessage="1" sqref="D65537">
      <formula1>$O$15:$O$26</formula1>
    </dataValidation>
    <dataValidation type="list" allowBlank="1" showInputMessage="1" showErrorMessage="1" sqref="IV65536">
      <formula1>$K$15:$K$19</formula1>
    </dataValidation>
    <dataValidation type="list" allowBlank="1" showInputMessage="1" showErrorMessage="1" sqref="D65538">
      <formula1>$P$15:$P$26</formula1>
    </dataValidation>
  </dataValidations>
  <hyperlinks>
    <hyperlink ref="D38" r:id="rId1"/>
    <hyperlink ref="D46" r:id="rId2"/>
    <hyperlink ref="D54" r:id="rId3"/>
    <hyperlink ref="D58" r:id="rId4"/>
    <hyperlink ref="D50" r:id="rId5"/>
    <hyperlink ref="D42" r:id="rId6"/>
  </hyperlinks>
  <pageMargins left="0.7" right="0.7" top="0.75" bottom="0.75" header="0.3" footer="0.3"/>
  <pageSetup orientation="portrait"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sheetPr>
  <dimension ref="A1:U68"/>
  <sheetViews>
    <sheetView topLeftCell="C1" zoomScale="65" zoomScaleNormal="65" workbookViewId="0">
      <selection activeCell="M30" sqref="M30"/>
    </sheetView>
  </sheetViews>
  <sheetFormatPr defaultColWidth="14.6328125" defaultRowHeight="14" x14ac:dyDescent="0.3"/>
  <cols>
    <col min="1" max="1" width="3.453125" style="146" customWidth="1"/>
    <col min="2" max="2" width="7.6328125" style="146" customWidth="1"/>
    <col min="3" max="3" width="14.08984375" style="146" customWidth="1"/>
    <col min="4" max="4" width="28" style="636" customWidth="1"/>
    <col min="5" max="5" width="37.453125" style="636" customWidth="1"/>
    <col min="6" max="7" width="14.6328125" style="146"/>
    <col min="8" max="8" width="18" style="146" customWidth="1"/>
    <col min="9" max="9" width="127" style="636" hidden="1" customWidth="1"/>
    <col min="10" max="11" width="14.6328125" style="146"/>
    <col min="12" max="12" width="15" style="146" customWidth="1"/>
    <col min="13" max="14" width="14.6328125" style="146"/>
    <col min="15" max="15" width="16" style="146" customWidth="1"/>
    <col min="16" max="20" width="14.6328125" style="146"/>
    <col min="21" max="21" width="2.90625" style="146" customWidth="1"/>
    <col min="22" max="256" width="14.6328125" style="146"/>
    <col min="257" max="257" width="3.453125" style="146" customWidth="1"/>
    <col min="258" max="258" width="2.90625" style="146" customWidth="1"/>
    <col min="259" max="259" width="14.08984375" style="146" customWidth="1"/>
    <col min="260" max="260" width="28" style="146" customWidth="1"/>
    <col min="261" max="261" width="37.453125" style="146" customWidth="1"/>
    <col min="262" max="263" width="14.6328125" style="146"/>
    <col min="264" max="264" width="18" style="146" customWidth="1"/>
    <col min="265" max="265" width="127" style="146" customWidth="1"/>
    <col min="266" max="267" width="14.6328125" style="146"/>
    <col min="268" max="268" width="15" style="146" customWidth="1"/>
    <col min="269" max="270" width="14.6328125" style="146"/>
    <col min="271" max="271" width="16" style="146" customWidth="1"/>
    <col min="272" max="276" width="14.6328125" style="146"/>
    <col min="277" max="277" width="2.90625" style="146" customWidth="1"/>
    <col min="278" max="512" width="14.6328125" style="146"/>
    <col min="513" max="513" width="3.453125" style="146" customWidth="1"/>
    <col min="514" max="514" width="2.90625" style="146" customWidth="1"/>
    <col min="515" max="515" width="14.08984375" style="146" customWidth="1"/>
    <col min="516" max="516" width="28" style="146" customWidth="1"/>
    <col min="517" max="517" width="37.453125" style="146" customWidth="1"/>
    <col min="518" max="519" width="14.6328125" style="146"/>
    <col min="520" max="520" width="18" style="146" customWidth="1"/>
    <col min="521" max="521" width="127" style="146" customWidth="1"/>
    <col min="522" max="523" width="14.6328125" style="146"/>
    <col min="524" max="524" width="15" style="146" customWidth="1"/>
    <col min="525" max="526" width="14.6328125" style="146"/>
    <col min="527" max="527" width="16" style="146" customWidth="1"/>
    <col min="528" max="532" width="14.6328125" style="146"/>
    <col min="533" max="533" width="2.90625" style="146" customWidth="1"/>
    <col min="534" max="768" width="14.6328125" style="146"/>
    <col min="769" max="769" width="3.453125" style="146" customWidth="1"/>
    <col min="770" max="770" width="2.90625" style="146" customWidth="1"/>
    <col min="771" max="771" width="14.08984375" style="146" customWidth="1"/>
    <col min="772" max="772" width="28" style="146" customWidth="1"/>
    <col min="773" max="773" width="37.453125" style="146" customWidth="1"/>
    <col min="774" max="775" width="14.6328125" style="146"/>
    <col min="776" max="776" width="18" style="146" customWidth="1"/>
    <col min="777" max="777" width="127" style="146" customWidth="1"/>
    <col min="778" max="779" width="14.6328125" style="146"/>
    <col min="780" max="780" width="15" style="146" customWidth="1"/>
    <col min="781" max="782" width="14.6328125" style="146"/>
    <col min="783" max="783" width="16" style="146" customWidth="1"/>
    <col min="784" max="788" width="14.6328125" style="146"/>
    <col min="789" max="789" width="2.90625" style="146" customWidth="1"/>
    <col min="790" max="1024" width="14.6328125" style="146"/>
    <col min="1025" max="1025" width="3.453125" style="146" customWidth="1"/>
    <col min="1026" max="1026" width="2.90625" style="146" customWidth="1"/>
    <col min="1027" max="1027" width="14.08984375" style="146" customWidth="1"/>
    <col min="1028" max="1028" width="28" style="146" customWidth="1"/>
    <col min="1029" max="1029" width="37.453125" style="146" customWidth="1"/>
    <col min="1030" max="1031" width="14.6328125" style="146"/>
    <col min="1032" max="1032" width="18" style="146" customWidth="1"/>
    <col min="1033" max="1033" width="127" style="146" customWidth="1"/>
    <col min="1034" max="1035" width="14.6328125" style="146"/>
    <col min="1036" max="1036" width="15" style="146" customWidth="1"/>
    <col min="1037" max="1038" width="14.6328125" style="146"/>
    <col min="1039" max="1039" width="16" style="146" customWidth="1"/>
    <col min="1040" max="1044" width="14.6328125" style="146"/>
    <col min="1045" max="1045" width="2.90625" style="146" customWidth="1"/>
    <col min="1046" max="1280" width="14.6328125" style="146"/>
    <col min="1281" max="1281" width="3.453125" style="146" customWidth="1"/>
    <col min="1282" max="1282" width="2.90625" style="146" customWidth="1"/>
    <col min="1283" max="1283" width="14.08984375" style="146" customWidth="1"/>
    <col min="1284" max="1284" width="28" style="146" customWidth="1"/>
    <col min="1285" max="1285" width="37.453125" style="146" customWidth="1"/>
    <col min="1286" max="1287" width="14.6328125" style="146"/>
    <col min="1288" max="1288" width="18" style="146" customWidth="1"/>
    <col min="1289" max="1289" width="127" style="146" customWidth="1"/>
    <col min="1290" max="1291" width="14.6328125" style="146"/>
    <col min="1292" max="1292" width="15" style="146" customWidth="1"/>
    <col min="1293" max="1294" width="14.6328125" style="146"/>
    <col min="1295" max="1295" width="16" style="146" customWidth="1"/>
    <col min="1296" max="1300" width="14.6328125" style="146"/>
    <col min="1301" max="1301" width="2.90625" style="146" customWidth="1"/>
    <col min="1302" max="1536" width="14.6328125" style="146"/>
    <col min="1537" max="1537" width="3.453125" style="146" customWidth="1"/>
    <col min="1538" max="1538" width="2.90625" style="146" customWidth="1"/>
    <col min="1539" max="1539" width="14.08984375" style="146" customWidth="1"/>
    <col min="1540" max="1540" width="28" style="146" customWidth="1"/>
    <col min="1541" max="1541" width="37.453125" style="146" customWidth="1"/>
    <col min="1542" max="1543" width="14.6328125" style="146"/>
    <col min="1544" max="1544" width="18" style="146" customWidth="1"/>
    <col min="1545" max="1545" width="127" style="146" customWidth="1"/>
    <col min="1546" max="1547" width="14.6328125" style="146"/>
    <col min="1548" max="1548" width="15" style="146" customWidth="1"/>
    <col min="1549" max="1550" width="14.6328125" style="146"/>
    <col min="1551" max="1551" width="16" style="146" customWidth="1"/>
    <col min="1552" max="1556" width="14.6328125" style="146"/>
    <col min="1557" max="1557" width="2.90625" style="146" customWidth="1"/>
    <col min="1558" max="1792" width="14.6328125" style="146"/>
    <col min="1793" max="1793" width="3.453125" style="146" customWidth="1"/>
    <col min="1794" max="1794" width="2.90625" style="146" customWidth="1"/>
    <col min="1795" max="1795" width="14.08984375" style="146" customWidth="1"/>
    <col min="1796" max="1796" width="28" style="146" customWidth="1"/>
    <col min="1797" max="1797" width="37.453125" style="146" customWidth="1"/>
    <col min="1798" max="1799" width="14.6328125" style="146"/>
    <col min="1800" max="1800" width="18" style="146" customWidth="1"/>
    <col min="1801" max="1801" width="127" style="146" customWidth="1"/>
    <col min="1802" max="1803" width="14.6328125" style="146"/>
    <col min="1804" max="1804" width="15" style="146" customWidth="1"/>
    <col min="1805" max="1806" width="14.6328125" style="146"/>
    <col min="1807" max="1807" width="16" style="146" customWidth="1"/>
    <col min="1808" max="1812" width="14.6328125" style="146"/>
    <col min="1813" max="1813" width="2.90625" style="146" customWidth="1"/>
    <col min="1814" max="2048" width="14.6328125" style="146"/>
    <col min="2049" max="2049" width="3.453125" style="146" customWidth="1"/>
    <col min="2050" max="2050" width="2.90625" style="146" customWidth="1"/>
    <col min="2051" max="2051" width="14.08984375" style="146" customWidth="1"/>
    <col min="2052" max="2052" width="28" style="146" customWidth="1"/>
    <col min="2053" max="2053" width="37.453125" style="146" customWidth="1"/>
    <col min="2054" max="2055" width="14.6328125" style="146"/>
    <col min="2056" max="2056" width="18" style="146" customWidth="1"/>
    <col min="2057" max="2057" width="127" style="146" customWidth="1"/>
    <col min="2058" max="2059" width="14.6328125" style="146"/>
    <col min="2060" max="2060" width="15" style="146" customWidth="1"/>
    <col min="2061" max="2062" width="14.6328125" style="146"/>
    <col min="2063" max="2063" width="16" style="146" customWidth="1"/>
    <col min="2064" max="2068" width="14.6328125" style="146"/>
    <col min="2069" max="2069" width="2.90625" style="146" customWidth="1"/>
    <col min="2070" max="2304" width="14.6328125" style="146"/>
    <col min="2305" max="2305" width="3.453125" style="146" customWidth="1"/>
    <col min="2306" max="2306" width="2.90625" style="146" customWidth="1"/>
    <col min="2307" max="2307" width="14.08984375" style="146" customWidth="1"/>
    <col min="2308" max="2308" width="28" style="146" customWidth="1"/>
    <col min="2309" max="2309" width="37.453125" style="146" customWidth="1"/>
    <col min="2310" max="2311" width="14.6328125" style="146"/>
    <col min="2312" max="2312" width="18" style="146" customWidth="1"/>
    <col min="2313" max="2313" width="127" style="146" customWidth="1"/>
    <col min="2314" max="2315" width="14.6328125" style="146"/>
    <col min="2316" max="2316" width="15" style="146" customWidth="1"/>
    <col min="2317" max="2318" width="14.6328125" style="146"/>
    <col min="2319" max="2319" width="16" style="146" customWidth="1"/>
    <col min="2320" max="2324" width="14.6328125" style="146"/>
    <col min="2325" max="2325" width="2.90625" style="146" customWidth="1"/>
    <col min="2326" max="2560" width="14.6328125" style="146"/>
    <col min="2561" max="2561" width="3.453125" style="146" customWidth="1"/>
    <col min="2562" max="2562" width="2.90625" style="146" customWidth="1"/>
    <col min="2563" max="2563" width="14.08984375" style="146" customWidth="1"/>
    <col min="2564" max="2564" width="28" style="146" customWidth="1"/>
    <col min="2565" max="2565" width="37.453125" style="146" customWidth="1"/>
    <col min="2566" max="2567" width="14.6328125" style="146"/>
    <col min="2568" max="2568" width="18" style="146" customWidth="1"/>
    <col min="2569" max="2569" width="127" style="146" customWidth="1"/>
    <col min="2570" max="2571" width="14.6328125" style="146"/>
    <col min="2572" max="2572" width="15" style="146" customWidth="1"/>
    <col min="2573" max="2574" width="14.6328125" style="146"/>
    <col min="2575" max="2575" width="16" style="146" customWidth="1"/>
    <col min="2576" max="2580" width="14.6328125" style="146"/>
    <col min="2581" max="2581" width="2.90625" style="146" customWidth="1"/>
    <col min="2582" max="2816" width="14.6328125" style="146"/>
    <col min="2817" max="2817" width="3.453125" style="146" customWidth="1"/>
    <col min="2818" max="2818" width="2.90625" style="146" customWidth="1"/>
    <col min="2819" max="2819" width="14.08984375" style="146" customWidth="1"/>
    <col min="2820" max="2820" width="28" style="146" customWidth="1"/>
    <col min="2821" max="2821" width="37.453125" style="146" customWidth="1"/>
    <col min="2822" max="2823" width="14.6328125" style="146"/>
    <col min="2824" max="2824" width="18" style="146" customWidth="1"/>
    <col min="2825" max="2825" width="127" style="146" customWidth="1"/>
    <col min="2826" max="2827" width="14.6328125" style="146"/>
    <col min="2828" max="2828" width="15" style="146" customWidth="1"/>
    <col min="2829" max="2830" width="14.6328125" style="146"/>
    <col min="2831" max="2831" width="16" style="146" customWidth="1"/>
    <col min="2832" max="2836" width="14.6328125" style="146"/>
    <col min="2837" max="2837" width="2.90625" style="146" customWidth="1"/>
    <col min="2838" max="3072" width="14.6328125" style="146"/>
    <col min="3073" max="3073" width="3.453125" style="146" customWidth="1"/>
    <col min="3074" max="3074" width="2.90625" style="146" customWidth="1"/>
    <col min="3075" max="3075" width="14.08984375" style="146" customWidth="1"/>
    <col min="3076" max="3076" width="28" style="146" customWidth="1"/>
    <col min="3077" max="3077" width="37.453125" style="146" customWidth="1"/>
    <col min="3078" max="3079" width="14.6328125" style="146"/>
    <col min="3080" max="3080" width="18" style="146" customWidth="1"/>
    <col min="3081" max="3081" width="127" style="146" customWidth="1"/>
    <col min="3082" max="3083" width="14.6328125" style="146"/>
    <col min="3084" max="3084" width="15" style="146" customWidth="1"/>
    <col min="3085" max="3086" width="14.6328125" style="146"/>
    <col min="3087" max="3087" width="16" style="146" customWidth="1"/>
    <col min="3088" max="3092" width="14.6328125" style="146"/>
    <col min="3093" max="3093" width="2.90625" style="146" customWidth="1"/>
    <col min="3094" max="3328" width="14.6328125" style="146"/>
    <col min="3329" max="3329" width="3.453125" style="146" customWidth="1"/>
    <col min="3330" max="3330" width="2.90625" style="146" customWidth="1"/>
    <col min="3331" max="3331" width="14.08984375" style="146" customWidth="1"/>
    <col min="3332" max="3332" width="28" style="146" customWidth="1"/>
    <col min="3333" max="3333" width="37.453125" style="146" customWidth="1"/>
    <col min="3334" max="3335" width="14.6328125" style="146"/>
    <col min="3336" max="3336" width="18" style="146" customWidth="1"/>
    <col min="3337" max="3337" width="127" style="146" customWidth="1"/>
    <col min="3338" max="3339" width="14.6328125" style="146"/>
    <col min="3340" max="3340" width="15" style="146" customWidth="1"/>
    <col min="3341" max="3342" width="14.6328125" style="146"/>
    <col min="3343" max="3343" width="16" style="146" customWidth="1"/>
    <col min="3344" max="3348" width="14.6328125" style="146"/>
    <col min="3349" max="3349" width="2.90625" style="146" customWidth="1"/>
    <col min="3350" max="3584" width="14.6328125" style="146"/>
    <col min="3585" max="3585" width="3.453125" style="146" customWidth="1"/>
    <col min="3586" max="3586" width="2.90625" style="146" customWidth="1"/>
    <col min="3587" max="3587" width="14.08984375" style="146" customWidth="1"/>
    <col min="3588" max="3588" width="28" style="146" customWidth="1"/>
    <col min="3589" max="3589" width="37.453125" style="146" customWidth="1"/>
    <col min="3590" max="3591" width="14.6328125" style="146"/>
    <col min="3592" max="3592" width="18" style="146" customWidth="1"/>
    <col min="3593" max="3593" width="127" style="146" customWidth="1"/>
    <col min="3594" max="3595" width="14.6328125" style="146"/>
    <col min="3596" max="3596" width="15" style="146" customWidth="1"/>
    <col min="3597" max="3598" width="14.6328125" style="146"/>
    <col min="3599" max="3599" width="16" style="146" customWidth="1"/>
    <col min="3600" max="3604" width="14.6328125" style="146"/>
    <col min="3605" max="3605" width="2.90625" style="146" customWidth="1"/>
    <col min="3606" max="3840" width="14.6328125" style="146"/>
    <col min="3841" max="3841" width="3.453125" style="146" customWidth="1"/>
    <col min="3842" max="3842" width="2.90625" style="146" customWidth="1"/>
    <col min="3843" max="3843" width="14.08984375" style="146" customWidth="1"/>
    <col min="3844" max="3844" width="28" style="146" customWidth="1"/>
    <col min="3845" max="3845" width="37.453125" style="146" customWidth="1"/>
    <col min="3846" max="3847" width="14.6328125" style="146"/>
    <col min="3848" max="3848" width="18" style="146" customWidth="1"/>
    <col min="3849" max="3849" width="127" style="146" customWidth="1"/>
    <col min="3850" max="3851" width="14.6328125" style="146"/>
    <col min="3852" max="3852" width="15" style="146" customWidth="1"/>
    <col min="3853" max="3854" width="14.6328125" style="146"/>
    <col min="3855" max="3855" width="16" style="146" customWidth="1"/>
    <col min="3856" max="3860" width="14.6328125" style="146"/>
    <col min="3861" max="3861" width="2.90625" style="146" customWidth="1"/>
    <col min="3862" max="4096" width="14.6328125" style="146"/>
    <col min="4097" max="4097" width="3.453125" style="146" customWidth="1"/>
    <col min="4098" max="4098" width="2.90625" style="146" customWidth="1"/>
    <col min="4099" max="4099" width="14.08984375" style="146" customWidth="1"/>
    <col min="4100" max="4100" width="28" style="146" customWidth="1"/>
    <col min="4101" max="4101" width="37.453125" style="146" customWidth="1"/>
    <col min="4102" max="4103" width="14.6328125" style="146"/>
    <col min="4104" max="4104" width="18" style="146" customWidth="1"/>
    <col min="4105" max="4105" width="127" style="146" customWidth="1"/>
    <col min="4106" max="4107" width="14.6328125" style="146"/>
    <col min="4108" max="4108" width="15" style="146" customWidth="1"/>
    <col min="4109" max="4110" width="14.6328125" style="146"/>
    <col min="4111" max="4111" width="16" style="146" customWidth="1"/>
    <col min="4112" max="4116" width="14.6328125" style="146"/>
    <col min="4117" max="4117" width="2.90625" style="146" customWidth="1"/>
    <col min="4118" max="4352" width="14.6328125" style="146"/>
    <col min="4353" max="4353" width="3.453125" style="146" customWidth="1"/>
    <col min="4354" max="4354" width="2.90625" style="146" customWidth="1"/>
    <col min="4355" max="4355" width="14.08984375" style="146" customWidth="1"/>
    <col min="4356" max="4356" width="28" style="146" customWidth="1"/>
    <col min="4357" max="4357" width="37.453125" style="146" customWidth="1"/>
    <col min="4358" max="4359" width="14.6328125" style="146"/>
    <col min="4360" max="4360" width="18" style="146" customWidth="1"/>
    <col min="4361" max="4361" width="127" style="146" customWidth="1"/>
    <col min="4362" max="4363" width="14.6328125" style="146"/>
    <col min="4364" max="4364" width="15" style="146" customWidth="1"/>
    <col min="4365" max="4366" width="14.6328125" style="146"/>
    <col min="4367" max="4367" width="16" style="146" customWidth="1"/>
    <col min="4368" max="4372" width="14.6328125" style="146"/>
    <col min="4373" max="4373" width="2.90625" style="146" customWidth="1"/>
    <col min="4374" max="4608" width="14.6328125" style="146"/>
    <col min="4609" max="4609" width="3.453125" style="146" customWidth="1"/>
    <col min="4610" max="4610" width="2.90625" style="146" customWidth="1"/>
    <col min="4611" max="4611" width="14.08984375" style="146" customWidth="1"/>
    <col min="4612" max="4612" width="28" style="146" customWidth="1"/>
    <col min="4613" max="4613" width="37.453125" style="146" customWidth="1"/>
    <col min="4614" max="4615" width="14.6328125" style="146"/>
    <col min="4616" max="4616" width="18" style="146" customWidth="1"/>
    <col min="4617" max="4617" width="127" style="146" customWidth="1"/>
    <col min="4618" max="4619" width="14.6328125" style="146"/>
    <col min="4620" max="4620" width="15" style="146" customWidth="1"/>
    <col min="4621" max="4622" width="14.6328125" style="146"/>
    <col min="4623" max="4623" width="16" style="146" customWidth="1"/>
    <col min="4624" max="4628" width="14.6328125" style="146"/>
    <col min="4629" max="4629" width="2.90625" style="146" customWidth="1"/>
    <col min="4630" max="4864" width="14.6328125" style="146"/>
    <col min="4865" max="4865" width="3.453125" style="146" customWidth="1"/>
    <col min="4866" max="4866" width="2.90625" style="146" customWidth="1"/>
    <col min="4867" max="4867" width="14.08984375" style="146" customWidth="1"/>
    <col min="4868" max="4868" width="28" style="146" customWidth="1"/>
    <col min="4869" max="4869" width="37.453125" style="146" customWidth="1"/>
    <col min="4870" max="4871" width="14.6328125" style="146"/>
    <col min="4872" max="4872" width="18" style="146" customWidth="1"/>
    <col min="4873" max="4873" width="127" style="146" customWidth="1"/>
    <col min="4874" max="4875" width="14.6328125" style="146"/>
    <col min="4876" max="4876" width="15" style="146" customWidth="1"/>
    <col min="4877" max="4878" width="14.6328125" style="146"/>
    <col min="4879" max="4879" width="16" style="146" customWidth="1"/>
    <col min="4880" max="4884" width="14.6328125" style="146"/>
    <col min="4885" max="4885" width="2.90625" style="146" customWidth="1"/>
    <col min="4886" max="5120" width="14.6328125" style="146"/>
    <col min="5121" max="5121" width="3.453125" style="146" customWidth="1"/>
    <col min="5122" max="5122" width="2.90625" style="146" customWidth="1"/>
    <col min="5123" max="5123" width="14.08984375" style="146" customWidth="1"/>
    <col min="5124" max="5124" width="28" style="146" customWidth="1"/>
    <col min="5125" max="5125" width="37.453125" style="146" customWidth="1"/>
    <col min="5126" max="5127" width="14.6328125" style="146"/>
    <col min="5128" max="5128" width="18" style="146" customWidth="1"/>
    <col min="5129" max="5129" width="127" style="146" customWidth="1"/>
    <col min="5130" max="5131" width="14.6328125" style="146"/>
    <col min="5132" max="5132" width="15" style="146" customWidth="1"/>
    <col min="5133" max="5134" width="14.6328125" style="146"/>
    <col min="5135" max="5135" width="16" style="146" customWidth="1"/>
    <col min="5136" max="5140" width="14.6328125" style="146"/>
    <col min="5141" max="5141" width="2.90625" style="146" customWidth="1"/>
    <col min="5142" max="5376" width="14.6328125" style="146"/>
    <col min="5377" max="5377" width="3.453125" style="146" customWidth="1"/>
    <col min="5378" max="5378" width="2.90625" style="146" customWidth="1"/>
    <col min="5379" max="5379" width="14.08984375" style="146" customWidth="1"/>
    <col min="5380" max="5380" width="28" style="146" customWidth="1"/>
    <col min="5381" max="5381" width="37.453125" style="146" customWidth="1"/>
    <col min="5382" max="5383" width="14.6328125" style="146"/>
    <col min="5384" max="5384" width="18" style="146" customWidth="1"/>
    <col min="5385" max="5385" width="127" style="146" customWidth="1"/>
    <col min="5386" max="5387" width="14.6328125" style="146"/>
    <col min="5388" max="5388" width="15" style="146" customWidth="1"/>
    <col min="5389" max="5390" width="14.6328125" style="146"/>
    <col min="5391" max="5391" width="16" style="146" customWidth="1"/>
    <col min="5392" max="5396" width="14.6328125" style="146"/>
    <col min="5397" max="5397" width="2.90625" style="146" customWidth="1"/>
    <col min="5398" max="5632" width="14.6328125" style="146"/>
    <col min="5633" max="5633" width="3.453125" style="146" customWidth="1"/>
    <col min="5634" max="5634" width="2.90625" style="146" customWidth="1"/>
    <col min="5635" max="5635" width="14.08984375" style="146" customWidth="1"/>
    <col min="5636" max="5636" width="28" style="146" customWidth="1"/>
    <col min="5637" max="5637" width="37.453125" style="146" customWidth="1"/>
    <col min="5638" max="5639" width="14.6328125" style="146"/>
    <col min="5640" max="5640" width="18" style="146" customWidth="1"/>
    <col min="5641" max="5641" width="127" style="146" customWidth="1"/>
    <col min="5642" max="5643" width="14.6328125" style="146"/>
    <col min="5644" max="5644" width="15" style="146" customWidth="1"/>
    <col min="5645" max="5646" width="14.6328125" style="146"/>
    <col min="5647" max="5647" width="16" style="146" customWidth="1"/>
    <col min="5648" max="5652" width="14.6328125" style="146"/>
    <col min="5653" max="5653" width="2.90625" style="146" customWidth="1"/>
    <col min="5654" max="5888" width="14.6328125" style="146"/>
    <col min="5889" max="5889" width="3.453125" style="146" customWidth="1"/>
    <col min="5890" max="5890" width="2.90625" style="146" customWidth="1"/>
    <col min="5891" max="5891" width="14.08984375" style="146" customWidth="1"/>
    <col min="5892" max="5892" width="28" style="146" customWidth="1"/>
    <col min="5893" max="5893" width="37.453125" style="146" customWidth="1"/>
    <col min="5894" max="5895" width="14.6328125" style="146"/>
    <col min="5896" max="5896" width="18" style="146" customWidth="1"/>
    <col min="5897" max="5897" width="127" style="146" customWidth="1"/>
    <col min="5898" max="5899" width="14.6328125" style="146"/>
    <col min="5900" max="5900" width="15" style="146" customWidth="1"/>
    <col min="5901" max="5902" width="14.6328125" style="146"/>
    <col min="5903" max="5903" width="16" style="146" customWidth="1"/>
    <col min="5904" max="5908" width="14.6328125" style="146"/>
    <col min="5909" max="5909" width="2.90625" style="146" customWidth="1"/>
    <col min="5910" max="6144" width="14.6328125" style="146"/>
    <col min="6145" max="6145" width="3.453125" style="146" customWidth="1"/>
    <col min="6146" max="6146" width="2.90625" style="146" customWidth="1"/>
    <col min="6147" max="6147" width="14.08984375" style="146" customWidth="1"/>
    <col min="6148" max="6148" width="28" style="146" customWidth="1"/>
    <col min="6149" max="6149" width="37.453125" style="146" customWidth="1"/>
    <col min="6150" max="6151" width="14.6328125" style="146"/>
    <col min="6152" max="6152" width="18" style="146" customWidth="1"/>
    <col min="6153" max="6153" width="127" style="146" customWidth="1"/>
    <col min="6154" max="6155" width="14.6328125" style="146"/>
    <col min="6156" max="6156" width="15" style="146" customWidth="1"/>
    <col min="6157" max="6158" width="14.6328125" style="146"/>
    <col min="6159" max="6159" width="16" style="146" customWidth="1"/>
    <col min="6160" max="6164" width="14.6328125" style="146"/>
    <col min="6165" max="6165" width="2.90625" style="146" customWidth="1"/>
    <col min="6166" max="6400" width="14.6328125" style="146"/>
    <col min="6401" max="6401" width="3.453125" style="146" customWidth="1"/>
    <col min="6402" max="6402" width="2.90625" style="146" customWidth="1"/>
    <col min="6403" max="6403" width="14.08984375" style="146" customWidth="1"/>
    <col min="6404" max="6404" width="28" style="146" customWidth="1"/>
    <col min="6405" max="6405" width="37.453125" style="146" customWidth="1"/>
    <col min="6406" max="6407" width="14.6328125" style="146"/>
    <col min="6408" max="6408" width="18" style="146" customWidth="1"/>
    <col min="6409" max="6409" width="127" style="146" customWidth="1"/>
    <col min="6410" max="6411" width="14.6328125" style="146"/>
    <col min="6412" max="6412" width="15" style="146" customWidth="1"/>
    <col min="6413" max="6414" width="14.6328125" style="146"/>
    <col min="6415" max="6415" width="16" style="146" customWidth="1"/>
    <col min="6416" max="6420" width="14.6328125" style="146"/>
    <col min="6421" max="6421" width="2.90625" style="146" customWidth="1"/>
    <col min="6422" max="6656" width="14.6328125" style="146"/>
    <col min="6657" max="6657" width="3.453125" style="146" customWidth="1"/>
    <col min="6658" max="6658" width="2.90625" style="146" customWidth="1"/>
    <col min="6659" max="6659" width="14.08984375" style="146" customWidth="1"/>
    <col min="6660" max="6660" width="28" style="146" customWidth="1"/>
    <col min="6661" max="6661" width="37.453125" style="146" customWidth="1"/>
    <col min="6662" max="6663" width="14.6328125" style="146"/>
    <col min="6664" max="6664" width="18" style="146" customWidth="1"/>
    <col min="6665" max="6665" width="127" style="146" customWidth="1"/>
    <col min="6666" max="6667" width="14.6328125" style="146"/>
    <col min="6668" max="6668" width="15" style="146" customWidth="1"/>
    <col min="6669" max="6670" width="14.6328125" style="146"/>
    <col min="6671" max="6671" width="16" style="146" customWidth="1"/>
    <col min="6672" max="6676" width="14.6328125" style="146"/>
    <col min="6677" max="6677" width="2.90625" style="146" customWidth="1"/>
    <col min="6678" max="6912" width="14.6328125" style="146"/>
    <col min="6913" max="6913" width="3.453125" style="146" customWidth="1"/>
    <col min="6914" max="6914" width="2.90625" style="146" customWidth="1"/>
    <col min="6915" max="6915" width="14.08984375" style="146" customWidth="1"/>
    <col min="6916" max="6916" width="28" style="146" customWidth="1"/>
    <col min="6917" max="6917" width="37.453125" style="146" customWidth="1"/>
    <col min="6918" max="6919" width="14.6328125" style="146"/>
    <col min="6920" max="6920" width="18" style="146" customWidth="1"/>
    <col min="6921" max="6921" width="127" style="146" customWidth="1"/>
    <col min="6922" max="6923" width="14.6328125" style="146"/>
    <col min="6924" max="6924" width="15" style="146" customWidth="1"/>
    <col min="6925" max="6926" width="14.6328125" style="146"/>
    <col min="6927" max="6927" width="16" style="146" customWidth="1"/>
    <col min="6928" max="6932" width="14.6328125" style="146"/>
    <col min="6933" max="6933" width="2.90625" style="146" customWidth="1"/>
    <col min="6934" max="7168" width="14.6328125" style="146"/>
    <col min="7169" max="7169" width="3.453125" style="146" customWidth="1"/>
    <col min="7170" max="7170" width="2.90625" style="146" customWidth="1"/>
    <col min="7171" max="7171" width="14.08984375" style="146" customWidth="1"/>
    <col min="7172" max="7172" width="28" style="146" customWidth="1"/>
    <col min="7173" max="7173" width="37.453125" style="146" customWidth="1"/>
    <col min="7174" max="7175" width="14.6328125" style="146"/>
    <col min="7176" max="7176" width="18" style="146" customWidth="1"/>
    <col min="7177" max="7177" width="127" style="146" customWidth="1"/>
    <col min="7178" max="7179" width="14.6328125" style="146"/>
    <col min="7180" max="7180" width="15" style="146" customWidth="1"/>
    <col min="7181" max="7182" width="14.6328125" style="146"/>
    <col min="7183" max="7183" width="16" style="146" customWidth="1"/>
    <col min="7184" max="7188" width="14.6328125" style="146"/>
    <col min="7189" max="7189" width="2.90625" style="146" customWidth="1"/>
    <col min="7190" max="7424" width="14.6328125" style="146"/>
    <col min="7425" max="7425" width="3.453125" style="146" customWidth="1"/>
    <col min="7426" max="7426" width="2.90625" style="146" customWidth="1"/>
    <col min="7427" max="7427" width="14.08984375" style="146" customWidth="1"/>
    <col min="7428" max="7428" width="28" style="146" customWidth="1"/>
    <col min="7429" max="7429" width="37.453125" style="146" customWidth="1"/>
    <col min="7430" max="7431" width="14.6328125" style="146"/>
    <col min="7432" max="7432" width="18" style="146" customWidth="1"/>
    <col min="7433" max="7433" width="127" style="146" customWidth="1"/>
    <col min="7434" max="7435" width="14.6328125" style="146"/>
    <col min="7436" max="7436" width="15" style="146" customWidth="1"/>
    <col min="7437" max="7438" width="14.6328125" style="146"/>
    <col min="7439" max="7439" width="16" style="146" customWidth="1"/>
    <col min="7440" max="7444" width="14.6328125" style="146"/>
    <col min="7445" max="7445" width="2.90625" style="146" customWidth="1"/>
    <col min="7446" max="7680" width="14.6328125" style="146"/>
    <col min="7681" max="7681" width="3.453125" style="146" customWidth="1"/>
    <col min="7682" max="7682" width="2.90625" style="146" customWidth="1"/>
    <col min="7683" max="7683" width="14.08984375" style="146" customWidth="1"/>
    <col min="7684" max="7684" width="28" style="146" customWidth="1"/>
    <col min="7685" max="7685" width="37.453125" style="146" customWidth="1"/>
    <col min="7686" max="7687" width="14.6328125" style="146"/>
    <col min="7688" max="7688" width="18" style="146" customWidth="1"/>
    <col min="7689" max="7689" width="127" style="146" customWidth="1"/>
    <col min="7690" max="7691" width="14.6328125" style="146"/>
    <col min="7692" max="7692" width="15" style="146" customWidth="1"/>
    <col min="7693" max="7694" width="14.6328125" style="146"/>
    <col min="7695" max="7695" width="16" style="146" customWidth="1"/>
    <col min="7696" max="7700" width="14.6328125" style="146"/>
    <col min="7701" max="7701" width="2.90625" style="146" customWidth="1"/>
    <col min="7702" max="7936" width="14.6328125" style="146"/>
    <col min="7937" max="7937" width="3.453125" style="146" customWidth="1"/>
    <col min="7938" max="7938" width="2.90625" style="146" customWidth="1"/>
    <col min="7939" max="7939" width="14.08984375" style="146" customWidth="1"/>
    <col min="7940" max="7940" width="28" style="146" customWidth="1"/>
    <col min="7941" max="7941" width="37.453125" style="146" customWidth="1"/>
    <col min="7942" max="7943" width="14.6328125" style="146"/>
    <col min="7944" max="7944" width="18" style="146" customWidth="1"/>
    <col min="7945" max="7945" width="127" style="146" customWidth="1"/>
    <col min="7946" max="7947" width="14.6328125" style="146"/>
    <col min="7948" max="7948" width="15" style="146" customWidth="1"/>
    <col min="7949" max="7950" width="14.6328125" style="146"/>
    <col min="7951" max="7951" width="16" style="146" customWidth="1"/>
    <col min="7952" max="7956" width="14.6328125" style="146"/>
    <col min="7957" max="7957" width="2.90625" style="146" customWidth="1"/>
    <col min="7958" max="8192" width="14.6328125" style="146"/>
    <col min="8193" max="8193" width="3.453125" style="146" customWidth="1"/>
    <col min="8194" max="8194" width="2.90625" style="146" customWidth="1"/>
    <col min="8195" max="8195" width="14.08984375" style="146" customWidth="1"/>
    <col min="8196" max="8196" width="28" style="146" customWidth="1"/>
    <col min="8197" max="8197" width="37.453125" style="146" customWidth="1"/>
    <col min="8198" max="8199" width="14.6328125" style="146"/>
    <col min="8200" max="8200" width="18" style="146" customWidth="1"/>
    <col min="8201" max="8201" width="127" style="146" customWidth="1"/>
    <col min="8202" max="8203" width="14.6328125" style="146"/>
    <col min="8204" max="8204" width="15" style="146" customWidth="1"/>
    <col min="8205" max="8206" width="14.6328125" style="146"/>
    <col min="8207" max="8207" width="16" style="146" customWidth="1"/>
    <col min="8208" max="8212" width="14.6328125" style="146"/>
    <col min="8213" max="8213" width="2.90625" style="146" customWidth="1"/>
    <col min="8214" max="8448" width="14.6328125" style="146"/>
    <col min="8449" max="8449" width="3.453125" style="146" customWidth="1"/>
    <col min="8450" max="8450" width="2.90625" style="146" customWidth="1"/>
    <col min="8451" max="8451" width="14.08984375" style="146" customWidth="1"/>
    <col min="8452" max="8452" width="28" style="146" customWidth="1"/>
    <col min="8453" max="8453" width="37.453125" style="146" customWidth="1"/>
    <col min="8454" max="8455" width="14.6328125" style="146"/>
    <col min="8456" max="8456" width="18" style="146" customWidth="1"/>
    <col min="8457" max="8457" width="127" style="146" customWidth="1"/>
    <col min="8458" max="8459" width="14.6328125" style="146"/>
    <col min="8460" max="8460" width="15" style="146" customWidth="1"/>
    <col min="8461" max="8462" width="14.6328125" style="146"/>
    <col min="8463" max="8463" width="16" style="146" customWidth="1"/>
    <col min="8464" max="8468" width="14.6328125" style="146"/>
    <col min="8469" max="8469" width="2.90625" style="146" customWidth="1"/>
    <col min="8470" max="8704" width="14.6328125" style="146"/>
    <col min="8705" max="8705" width="3.453125" style="146" customWidth="1"/>
    <col min="8706" max="8706" width="2.90625" style="146" customWidth="1"/>
    <col min="8707" max="8707" width="14.08984375" style="146" customWidth="1"/>
    <col min="8708" max="8708" width="28" style="146" customWidth="1"/>
    <col min="8709" max="8709" width="37.453125" style="146" customWidth="1"/>
    <col min="8710" max="8711" width="14.6328125" style="146"/>
    <col min="8712" max="8712" width="18" style="146" customWidth="1"/>
    <col min="8713" max="8713" width="127" style="146" customWidth="1"/>
    <col min="8714" max="8715" width="14.6328125" style="146"/>
    <col min="8716" max="8716" width="15" style="146" customWidth="1"/>
    <col min="8717" max="8718" width="14.6328125" style="146"/>
    <col min="8719" max="8719" width="16" style="146" customWidth="1"/>
    <col min="8720" max="8724" width="14.6328125" style="146"/>
    <col min="8725" max="8725" width="2.90625" style="146" customWidth="1"/>
    <col min="8726" max="8960" width="14.6328125" style="146"/>
    <col min="8961" max="8961" width="3.453125" style="146" customWidth="1"/>
    <col min="8962" max="8962" width="2.90625" style="146" customWidth="1"/>
    <col min="8963" max="8963" width="14.08984375" style="146" customWidth="1"/>
    <col min="8964" max="8964" width="28" style="146" customWidth="1"/>
    <col min="8965" max="8965" width="37.453125" style="146" customWidth="1"/>
    <col min="8966" max="8967" width="14.6328125" style="146"/>
    <col min="8968" max="8968" width="18" style="146" customWidth="1"/>
    <col min="8969" max="8969" width="127" style="146" customWidth="1"/>
    <col min="8970" max="8971" width="14.6328125" style="146"/>
    <col min="8972" max="8972" width="15" style="146" customWidth="1"/>
    <col min="8973" max="8974" width="14.6328125" style="146"/>
    <col min="8975" max="8975" width="16" style="146" customWidth="1"/>
    <col min="8976" max="8980" width="14.6328125" style="146"/>
    <col min="8981" max="8981" width="2.90625" style="146" customWidth="1"/>
    <col min="8982" max="9216" width="14.6328125" style="146"/>
    <col min="9217" max="9217" width="3.453125" style="146" customWidth="1"/>
    <col min="9218" max="9218" width="2.90625" style="146" customWidth="1"/>
    <col min="9219" max="9219" width="14.08984375" style="146" customWidth="1"/>
    <col min="9220" max="9220" width="28" style="146" customWidth="1"/>
    <col min="9221" max="9221" width="37.453125" style="146" customWidth="1"/>
    <col min="9222" max="9223" width="14.6328125" style="146"/>
    <col min="9224" max="9224" width="18" style="146" customWidth="1"/>
    <col min="9225" max="9225" width="127" style="146" customWidth="1"/>
    <col min="9226" max="9227" width="14.6328125" style="146"/>
    <col min="9228" max="9228" width="15" style="146" customWidth="1"/>
    <col min="9229" max="9230" width="14.6328125" style="146"/>
    <col min="9231" max="9231" width="16" style="146" customWidth="1"/>
    <col min="9232" max="9236" width="14.6328125" style="146"/>
    <col min="9237" max="9237" width="2.90625" style="146" customWidth="1"/>
    <col min="9238" max="9472" width="14.6328125" style="146"/>
    <col min="9473" max="9473" width="3.453125" style="146" customWidth="1"/>
    <col min="9474" max="9474" width="2.90625" style="146" customWidth="1"/>
    <col min="9475" max="9475" width="14.08984375" style="146" customWidth="1"/>
    <col min="9476" max="9476" width="28" style="146" customWidth="1"/>
    <col min="9477" max="9477" width="37.453125" style="146" customWidth="1"/>
    <col min="9478" max="9479" width="14.6328125" style="146"/>
    <col min="9480" max="9480" width="18" style="146" customWidth="1"/>
    <col min="9481" max="9481" width="127" style="146" customWidth="1"/>
    <col min="9482" max="9483" width="14.6328125" style="146"/>
    <col min="9484" max="9484" width="15" style="146" customWidth="1"/>
    <col min="9485" max="9486" width="14.6328125" style="146"/>
    <col min="9487" max="9487" width="16" style="146" customWidth="1"/>
    <col min="9488" max="9492" width="14.6328125" style="146"/>
    <col min="9493" max="9493" width="2.90625" style="146" customWidth="1"/>
    <col min="9494" max="9728" width="14.6328125" style="146"/>
    <col min="9729" max="9729" width="3.453125" style="146" customWidth="1"/>
    <col min="9730" max="9730" width="2.90625" style="146" customWidth="1"/>
    <col min="9731" max="9731" width="14.08984375" style="146" customWidth="1"/>
    <col min="9732" max="9732" width="28" style="146" customWidth="1"/>
    <col min="9733" max="9733" width="37.453125" style="146" customWidth="1"/>
    <col min="9734" max="9735" width="14.6328125" style="146"/>
    <col min="9736" max="9736" width="18" style="146" customWidth="1"/>
    <col min="9737" max="9737" width="127" style="146" customWidth="1"/>
    <col min="9738" max="9739" width="14.6328125" style="146"/>
    <col min="9740" max="9740" width="15" style="146" customWidth="1"/>
    <col min="9741" max="9742" width="14.6328125" style="146"/>
    <col min="9743" max="9743" width="16" style="146" customWidth="1"/>
    <col min="9744" max="9748" width="14.6328125" style="146"/>
    <col min="9749" max="9749" width="2.90625" style="146" customWidth="1"/>
    <col min="9750" max="9984" width="14.6328125" style="146"/>
    <col min="9985" max="9985" width="3.453125" style="146" customWidth="1"/>
    <col min="9986" max="9986" width="2.90625" style="146" customWidth="1"/>
    <col min="9987" max="9987" width="14.08984375" style="146" customWidth="1"/>
    <col min="9988" max="9988" width="28" style="146" customWidth="1"/>
    <col min="9989" max="9989" width="37.453125" style="146" customWidth="1"/>
    <col min="9990" max="9991" width="14.6328125" style="146"/>
    <col min="9992" max="9992" width="18" style="146" customWidth="1"/>
    <col min="9993" max="9993" width="127" style="146" customWidth="1"/>
    <col min="9994" max="9995" width="14.6328125" style="146"/>
    <col min="9996" max="9996" width="15" style="146" customWidth="1"/>
    <col min="9997" max="9998" width="14.6328125" style="146"/>
    <col min="9999" max="9999" width="16" style="146" customWidth="1"/>
    <col min="10000" max="10004" width="14.6328125" style="146"/>
    <col min="10005" max="10005" width="2.90625" style="146" customWidth="1"/>
    <col min="10006" max="10240" width="14.6328125" style="146"/>
    <col min="10241" max="10241" width="3.453125" style="146" customWidth="1"/>
    <col min="10242" max="10242" width="2.90625" style="146" customWidth="1"/>
    <col min="10243" max="10243" width="14.08984375" style="146" customWidth="1"/>
    <col min="10244" max="10244" width="28" style="146" customWidth="1"/>
    <col min="10245" max="10245" width="37.453125" style="146" customWidth="1"/>
    <col min="10246" max="10247" width="14.6328125" style="146"/>
    <col min="10248" max="10248" width="18" style="146" customWidth="1"/>
    <col min="10249" max="10249" width="127" style="146" customWidth="1"/>
    <col min="10250" max="10251" width="14.6328125" style="146"/>
    <col min="10252" max="10252" width="15" style="146" customWidth="1"/>
    <col min="10253" max="10254" width="14.6328125" style="146"/>
    <col min="10255" max="10255" width="16" style="146" customWidth="1"/>
    <col min="10256" max="10260" width="14.6328125" style="146"/>
    <col min="10261" max="10261" width="2.90625" style="146" customWidth="1"/>
    <col min="10262" max="10496" width="14.6328125" style="146"/>
    <col min="10497" max="10497" width="3.453125" style="146" customWidth="1"/>
    <col min="10498" max="10498" width="2.90625" style="146" customWidth="1"/>
    <col min="10499" max="10499" width="14.08984375" style="146" customWidth="1"/>
    <col min="10500" max="10500" width="28" style="146" customWidth="1"/>
    <col min="10501" max="10501" width="37.453125" style="146" customWidth="1"/>
    <col min="10502" max="10503" width="14.6328125" style="146"/>
    <col min="10504" max="10504" width="18" style="146" customWidth="1"/>
    <col min="10505" max="10505" width="127" style="146" customWidth="1"/>
    <col min="10506" max="10507" width="14.6328125" style="146"/>
    <col min="10508" max="10508" width="15" style="146" customWidth="1"/>
    <col min="10509" max="10510" width="14.6328125" style="146"/>
    <col min="10511" max="10511" width="16" style="146" customWidth="1"/>
    <col min="10512" max="10516" width="14.6328125" style="146"/>
    <col min="10517" max="10517" width="2.90625" style="146" customWidth="1"/>
    <col min="10518" max="10752" width="14.6328125" style="146"/>
    <col min="10753" max="10753" width="3.453125" style="146" customWidth="1"/>
    <col min="10754" max="10754" width="2.90625" style="146" customWidth="1"/>
    <col min="10755" max="10755" width="14.08984375" style="146" customWidth="1"/>
    <col min="10756" max="10756" width="28" style="146" customWidth="1"/>
    <col min="10757" max="10757" width="37.453125" style="146" customWidth="1"/>
    <col min="10758" max="10759" width="14.6328125" style="146"/>
    <col min="10760" max="10760" width="18" style="146" customWidth="1"/>
    <col min="10761" max="10761" width="127" style="146" customWidth="1"/>
    <col min="10762" max="10763" width="14.6328125" style="146"/>
    <col min="10764" max="10764" width="15" style="146" customWidth="1"/>
    <col min="10765" max="10766" width="14.6328125" style="146"/>
    <col min="10767" max="10767" width="16" style="146" customWidth="1"/>
    <col min="10768" max="10772" width="14.6328125" style="146"/>
    <col min="10773" max="10773" width="2.90625" style="146" customWidth="1"/>
    <col min="10774" max="11008" width="14.6328125" style="146"/>
    <col min="11009" max="11009" width="3.453125" style="146" customWidth="1"/>
    <col min="11010" max="11010" width="2.90625" style="146" customWidth="1"/>
    <col min="11011" max="11011" width="14.08984375" style="146" customWidth="1"/>
    <col min="11012" max="11012" width="28" style="146" customWidth="1"/>
    <col min="11013" max="11013" width="37.453125" style="146" customWidth="1"/>
    <col min="11014" max="11015" width="14.6328125" style="146"/>
    <col min="11016" max="11016" width="18" style="146" customWidth="1"/>
    <col min="11017" max="11017" width="127" style="146" customWidth="1"/>
    <col min="11018" max="11019" width="14.6328125" style="146"/>
    <col min="11020" max="11020" width="15" style="146" customWidth="1"/>
    <col min="11021" max="11022" width="14.6328125" style="146"/>
    <col min="11023" max="11023" width="16" style="146" customWidth="1"/>
    <col min="11024" max="11028" width="14.6328125" style="146"/>
    <col min="11029" max="11029" width="2.90625" style="146" customWidth="1"/>
    <col min="11030" max="11264" width="14.6328125" style="146"/>
    <col min="11265" max="11265" width="3.453125" style="146" customWidth="1"/>
    <col min="11266" max="11266" width="2.90625" style="146" customWidth="1"/>
    <col min="11267" max="11267" width="14.08984375" style="146" customWidth="1"/>
    <col min="11268" max="11268" width="28" style="146" customWidth="1"/>
    <col min="11269" max="11269" width="37.453125" style="146" customWidth="1"/>
    <col min="11270" max="11271" width="14.6328125" style="146"/>
    <col min="11272" max="11272" width="18" style="146" customWidth="1"/>
    <col min="11273" max="11273" width="127" style="146" customWidth="1"/>
    <col min="11274" max="11275" width="14.6328125" style="146"/>
    <col min="11276" max="11276" width="15" style="146" customWidth="1"/>
    <col min="11277" max="11278" width="14.6328125" style="146"/>
    <col min="11279" max="11279" width="16" style="146" customWidth="1"/>
    <col min="11280" max="11284" width="14.6328125" style="146"/>
    <col min="11285" max="11285" width="2.90625" style="146" customWidth="1"/>
    <col min="11286" max="11520" width="14.6328125" style="146"/>
    <col min="11521" max="11521" width="3.453125" style="146" customWidth="1"/>
    <col min="11522" max="11522" width="2.90625" style="146" customWidth="1"/>
    <col min="11523" max="11523" width="14.08984375" style="146" customWidth="1"/>
    <col min="11524" max="11524" width="28" style="146" customWidth="1"/>
    <col min="11525" max="11525" width="37.453125" style="146" customWidth="1"/>
    <col min="11526" max="11527" width="14.6328125" style="146"/>
    <col min="11528" max="11528" width="18" style="146" customWidth="1"/>
    <col min="11529" max="11529" width="127" style="146" customWidth="1"/>
    <col min="11530" max="11531" width="14.6328125" style="146"/>
    <col min="11532" max="11532" width="15" style="146" customWidth="1"/>
    <col min="11533" max="11534" width="14.6328125" style="146"/>
    <col min="11535" max="11535" width="16" style="146" customWidth="1"/>
    <col min="11536" max="11540" width="14.6328125" style="146"/>
    <col min="11541" max="11541" width="2.90625" style="146" customWidth="1"/>
    <col min="11542" max="11776" width="14.6328125" style="146"/>
    <col min="11777" max="11777" width="3.453125" style="146" customWidth="1"/>
    <col min="11778" max="11778" width="2.90625" style="146" customWidth="1"/>
    <col min="11779" max="11779" width="14.08984375" style="146" customWidth="1"/>
    <col min="11780" max="11780" width="28" style="146" customWidth="1"/>
    <col min="11781" max="11781" width="37.453125" style="146" customWidth="1"/>
    <col min="11782" max="11783" width="14.6328125" style="146"/>
    <col min="11784" max="11784" width="18" style="146" customWidth="1"/>
    <col min="11785" max="11785" width="127" style="146" customWidth="1"/>
    <col min="11786" max="11787" width="14.6328125" style="146"/>
    <col min="11788" max="11788" width="15" style="146" customWidth="1"/>
    <col min="11789" max="11790" width="14.6328125" style="146"/>
    <col min="11791" max="11791" width="16" style="146" customWidth="1"/>
    <col min="11792" max="11796" width="14.6328125" style="146"/>
    <col min="11797" max="11797" width="2.90625" style="146" customWidth="1"/>
    <col min="11798" max="12032" width="14.6328125" style="146"/>
    <col min="12033" max="12033" width="3.453125" style="146" customWidth="1"/>
    <col min="12034" max="12034" width="2.90625" style="146" customWidth="1"/>
    <col min="12035" max="12035" width="14.08984375" style="146" customWidth="1"/>
    <col min="12036" max="12036" width="28" style="146" customWidth="1"/>
    <col min="12037" max="12037" width="37.453125" style="146" customWidth="1"/>
    <col min="12038" max="12039" width="14.6328125" style="146"/>
    <col min="12040" max="12040" width="18" style="146" customWidth="1"/>
    <col min="12041" max="12041" width="127" style="146" customWidth="1"/>
    <col min="12042" max="12043" width="14.6328125" style="146"/>
    <col min="12044" max="12044" width="15" style="146" customWidth="1"/>
    <col min="12045" max="12046" width="14.6328125" style="146"/>
    <col min="12047" max="12047" width="16" style="146" customWidth="1"/>
    <col min="12048" max="12052" width="14.6328125" style="146"/>
    <col min="12053" max="12053" width="2.90625" style="146" customWidth="1"/>
    <col min="12054" max="12288" width="14.6328125" style="146"/>
    <col min="12289" max="12289" width="3.453125" style="146" customWidth="1"/>
    <col min="12290" max="12290" width="2.90625" style="146" customWidth="1"/>
    <col min="12291" max="12291" width="14.08984375" style="146" customWidth="1"/>
    <col min="12292" max="12292" width="28" style="146" customWidth="1"/>
    <col min="12293" max="12293" width="37.453125" style="146" customWidth="1"/>
    <col min="12294" max="12295" width="14.6328125" style="146"/>
    <col min="12296" max="12296" width="18" style="146" customWidth="1"/>
    <col min="12297" max="12297" width="127" style="146" customWidth="1"/>
    <col min="12298" max="12299" width="14.6328125" style="146"/>
    <col min="12300" max="12300" width="15" style="146" customWidth="1"/>
    <col min="12301" max="12302" width="14.6328125" style="146"/>
    <col min="12303" max="12303" width="16" style="146" customWidth="1"/>
    <col min="12304" max="12308" width="14.6328125" style="146"/>
    <col min="12309" max="12309" width="2.90625" style="146" customWidth="1"/>
    <col min="12310" max="12544" width="14.6328125" style="146"/>
    <col min="12545" max="12545" width="3.453125" style="146" customWidth="1"/>
    <col min="12546" max="12546" width="2.90625" style="146" customWidth="1"/>
    <col min="12547" max="12547" width="14.08984375" style="146" customWidth="1"/>
    <col min="12548" max="12548" width="28" style="146" customWidth="1"/>
    <col min="12549" max="12549" width="37.453125" style="146" customWidth="1"/>
    <col min="12550" max="12551" width="14.6328125" style="146"/>
    <col min="12552" max="12552" width="18" style="146" customWidth="1"/>
    <col min="12553" max="12553" width="127" style="146" customWidth="1"/>
    <col min="12554" max="12555" width="14.6328125" style="146"/>
    <col min="12556" max="12556" width="15" style="146" customWidth="1"/>
    <col min="12557" max="12558" width="14.6328125" style="146"/>
    <col min="12559" max="12559" width="16" style="146" customWidth="1"/>
    <col min="12560" max="12564" width="14.6328125" style="146"/>
    <col min="12565" max="12565" width="2.90625" style="146" customWidth="1"/>
    <col min="12566" max="12800" width="14.6328125" style="146"/>
    <col min="12801" max="12801" width="3.453125" style="146" customWidth="1"/>
    <col min="12802" max="12802" width="2.90625" style="146" customWidth="1"/>
    <col min="12803" max="12803" width="14.08984375" style="146" customWidth="1"/>
    <col min="12804" max="12804" width="28" style="146" customWidth="1"/>
    <col min="12805" max="12805" width="37.453125" style="146" customWidth="1"/>
    <col min="12806" max="12807" width="14.6328125" style="146"/>
    <col min="12808" max="12808" width="18" style="146" customWidth="1"/>
    <col min="12809" max="12809" width="127" style="146" customWidth="1"/>
    <col min="12810" max="12811" width="14.6328125" style="146"/>
    <col min="12812" max="12812" width="15" style="146" customWidth="1"/>
    <col min="12813" max="12814" width="14.6328125" style="146"/>
    <col min="12815" max="12815" width="16" style="146" customWidth="1"/>
    <col min="12816" max="12820" width="14.6328125" style="146"/>
    <col min="12821" max="12821" width="2.90625" style="146" customWidth="1"/>
    <col min="12822" max="13056" width="14.6328125" style="146"/>
    <col min="13057" max="13057" width="3.453125" style="146" customWidth="1"/>
    <col min="13058" max="13058" width="2.90625" style="146" customWidth="1"/>
    <col min="13059" max="13059" width="14.08984375" style="146" customWidth="1"/>
    <col min="13060" max="13060" width="28" style="146" customWidth="1"/>
    <col min="13061" max="13061" width="37.453125" style="146" customWidth="1"/>
    <col min="13062" max="13063" width="14.6328125" style="146"/>
    <col min="13064" max="13064" width="18" style="146" customWidth="1"/>
    <col min="13065" max="13065" width="127" style="146" customWidth="1"/>
    <col min="13066" max="13067" width="14.6328125" style="146"/>
    <col min="13068" max="13068" width="15" style="146" customWidth="1"/>
    <col min="13069" max="13070" width="14.6328125" style="146"/>
    <col min="13071" max="13071" width="16" style="146" customWidth="1"/>
    <col min="13072" max="13076" width="14.6328125" style="146"/>
    <col min="13077" max="13077" width="2.90625" style="146" customWidth="1"/>
    <col min="13078" max="13312" width="14.6328125" style="146"/>
    <col min="13313" max="13313" width="3.453125" style="146" customWidth="1"/>
    <col min="13314" max="13314" width="2.90625" style="146" customWidth="1"/>
    <col min="13315" max="13315" width="14.08984375" style="146" customWidth="1"/>
    <col min="13316" max="13316" width="28" style="146" customWidth="1"/>
    <col min="13317" max="13317" width="37.453125" style="146" customWidth="1"/>
    <col min="13318" max="13319" width="14.6328125" style="146"/>
    <col min="13320" max="13320" width="18" style="146" customWidth="1"/>
    <col min="13321" max="13321" width="127" style="146" customWidth="1"/>
    <col min="13322" max="13323" width="14.6328125" style="146"/>
    <col min="13324" max="13324" width="15" style="146" customWidth="1"/>
    <col min="13325" max="13326" width="14.6328125" style="146"/>
    <col min="13327" max="13327" width="16" style="146" customWidth="1"/>
    <col min="13328" max="13332" width="14.6328125" style="146"/>
    <col min="13333" max="13333" width="2.90625" style="146" customWidth="1"/>
    <col min="13334" max="13568" width="14.6328125" style="146"/>
    <col min="13569" max="13569" width="3.453125" style="146" customWidth="1"/>
    <col min="13570" max="13570" width="2.90625" style="146" customWidth="1"/>
    <col min="13571" max="13571" width="14.08984375" style="146" customWidth="1"/>
    <col min="13572" max="13572" width="28" style="146" customWidth="1"/>
    <col min="13573" max="13573" width="37.453125" style="146" customWidth="1"/>
    <col min="13574" max="13575" width="14.6328125" style="146"/>
    <col min="13576" max="13576" width="18" style="146" customWidth="1"/>
    <col min="13577" max="13577" width="127" style="146" customWidth="1"/>
    <col min="13578" max="13579" width="14.6328125" style="146"/>
    <col min="13580" max="13580" width="15" style="146" customWidth="1"/>
    <col min="13581" max="13582" width="14.6328125" style="146"/>
    <col min="13583" max="13583" width="16" style="146" customWidth="1"/>
    <col min="13584" max="13588" width="14.6328125" style="146"/>
    <col min="13589" max="13589" width="2.90625" style="146" customWidth="1"/>
    <col min="13590" max="13824" width="14.6328125" style="146"/>
    <col min="13825" max="13825" width="3.453125" style="146" customWidth="1"/>
    <col min="13826" max="13826" width="2.90625" style="146" customWidth="1"/>
    <col min="13827" max="13827" width="14.08984375" style="146" customWidth="1"/>
    <col min="13828" max="13828" width="28" style="146" customWidth="1"/>
    <col min="13829" max="13829" width="37.453125" style="146" customWidth="1"/>
    <col min="13830" max="13831" width="14.6328125" style="146"/>
    <col min="13832" max="13832" width="18" style="146" customWidth="1"/>
    <col min="13833" max="13833" width="127" style="146" customWidth="1"/>
    <col min="13834" max="13835" width="14.6328125" style="146"/>
    <col min="13836" max="13836" width="15" style="146" customWidth="1"/>
    <col min="13837" max="13838" width="14.6328125" style="146"/>
    <col min="13839" max="13839" width="16" style="146" customWidth="1"/>
    <col min="13840" max="13844" width="14.6328125" style="146"/>
    <col min="13845" max="13845" width="2.90625" style="146" customWidth="1"/>
    <col min="13846" max="14080" width="14.6328125" style="146"/>
    <col min="14081" max="14081" width="3.453125" style="146" customWidth="1"/>
    <col min="14082" max="14082" width="2.90625" style="146" customWidth="1"/>
    <col min="14083" max="14083" width="14.08984375" style="146" customWidth="1"/>
    <col min="14084" max="14084" width="28" style="146" customWidth="1"/>
    <col min="14085" max="14085" width="37.453125" style="146" customWidth="1"/>
    <col min="14086" max="14087" width="14.6328125" style="146"/>
    <col min="14088" max="14088" width="18" style="146" customWidth="1"/>
    <col min="14089" max="14089" width="127" style="146" customWidth="1"/>
    <col min="14090" max="14091" width="14.6328125" style="146"/>
    <col min="14092" max="14092" width="15" style="146" customWidth="1"/>
    <col min="14093" max="14094" width="14.6328125" style="146"/>
    <col min="14095" max="14095" width="16" style="146" customWidth="1"/>
    <col min="14096" max="14100" width="14.6328125" style="146"/>
    <col min="14101" max="14101" width="2.90625" style="146" customWidth="1"/>
    <col min="14102" max="14336" width="14.6328125" style="146"/>
    <col min="14337" max="14337" width="3.453125" style="146" customWidth="1"/>
    <col min="14338" max="14338" width="2.90625" style="146" customWidth="1"/>
    <col min="14339" max="14339" width="14.08984375" style="146" customWidth="1"/>
    <col min="14340" max="14340" width="28" style="146" customWidth="1"/>
    <col min="14341" max="14341" width="37.453125" style="146" customWidth="1"/>
    <col min="14342" max="14343" width="14.6328125" style="146"/>
    <col min="14344" max="14344" width="18" style="146" customWidth="1"/>
    <col min="14345" max="14345" width="127" style="146" customWidth="1"/>
    <col min="14346" max="14347" width="14.6328125" style="146"/>
    <col min="14348" max="14348" width="15" style="146" customWidth="1"/>
    <col min="14349" max="14350" width="14.6328125" style="146"/>
    <col min="14351" max="14351" width="16" style="146" customWidth="1"/>
    <col min="14352" max="14356" width="14.6328125" style="146"/>
    <col min="14357" max="14357" width="2.90625" style="146" customWidth="1"/>
    <col min="14358" max="14592" width="14.6328125" style="146"/>
    <col min="14593" max="14593" width="3.453125" style="146" customWidth="1"/>
    <col min="14594" max="14594" width="2.90625" style="146" customWidth="1"/>
    <col min="14595" max="14595" width="14.08984375" style="146" customWidth="1"/>
    <col min="14596" max="14596" width="28" style="146" customWidth="1"/>
    <col min="14597" max="14597" width="37.453125" style="146" customWidth="1"/>
    <col min="14598" max="14599" width="14.6328125" style="146"/>
    <col min="14600" max="14600" width="18" style="146" customWidth="1"/>
    <col min="14601" max="14601" width="127" style="146" customWidth="1"/>
    <col min="14602" max="14603" width="14.6328125" style="146"/>
    <col min="14604" max="14604" width="15" style="146" customWidth="1"/>
    <col min="14605" max="14606" width="14.6328125" style="146"/>
    <col min="14607" max="14607" width="16" style="146" customWidth="1"/>
    <col min="14608" max="14612" width="14.6328125" style="146"/>
    <col min="14613" max="14613" width="2.90625" style="146" customWidth="1"/>
    <col min="14614" max="14848" width="14.6328125" style="146"/>
    <col min="14849" max="14849" width="3.453125" style="146" customWidth="1"/>
    <col min="14850" max="14850" width="2.90625" style="146" customWidth="1"/>
    <col min="14851" max="14851" width="14.08984375" style="146" customWidth="1"/>
    <col min="14852" max="14852" width="28" style="146" customWidth="1"/>
    <col min="14853" max="14853" width="37.453125" style="146" customWidth="1"/>
    <col min="14854" max="14855" width="14.6328125" style="146"/>
    <col min="14856" max="14856" width="18" style="146" customWidth="1"/>
    <col min="14857" max="14857" width="127" style="146" customWidth="1"/>
    <col min="14858" max="14859" width="14.6328125" style="146"/>
    <col min="14860" max="14860" width="15" style="146" customWidth="1"/>
    <col min="14861" max="14862" width="14.6328125" style="146"/>
    <col min="14863" max="14863" width="16" style="146" customWidth="1"/>
    <col min="14864" max="14868" width="14.6328125" style="146"/>
    <col min="14869" max="14869" width="2.90625" style="146" customWidth="1"/>
    <col min="14870" max="15104" width="14.6328125" style="146"/>
    <col min="15105" max="15105" width="3.453125" style="146" customWidth="1"/>
    <col min="15106" max="15106" width="2.90625" style="146" customWidth="1"/>
    <col min="15107" max="15107" width="14.08984375" style="146" customWidth="1"/>
    <col min="15108" max="15108" width="28" style="146" customWidth="1"/>
    <col min="15109" max="15109" width="37.453125" style="146" customWidth="1"/>
    <col min="15110" max="15111" width="14.6328125" style="146"/>
    <col min="15112" max="15112" width="18" style="146" customWidth="1"/>
    <col min="15113" max="15113" width="127" style="146" customWidth="1"/>
    <col min="15114" max="15115" width="14.6328125" style="146"/>
    <col min="15116" max="15116" width="15" style="146" customWidth="1"/>
    <col min="15117" max="15118" width="14.6328125" style="146"/>
    <col min="15119" max="15119" width="16" style="146" customWidth="1"/>
    <col min="15120" max="15124" width="14.6328125" style="146"/>
    <col min="15125" max="15125" width="2.90625" style="146" customWidth="1"/>
    <col min="15126" max="15360" width="14.6328125" style="146"/>
    <col min="15361" max="15361" width="3.453125" style="146" customWidth="1"/>
    <col min="15362" max="15362" width="2.90625" style="146" customWidth="1"/>
    <col min="15363" max="15363" width="14.08984375" style="146" customWidth="1"/>
    <col min="15364" max="15364" width="28" style="146" customWidth="1"/>
    <col min="15365" max="15365" width="37.453125" style="146" customWidth="1"/>
    <col min="15366" max="15367" width="14.6328125" style="146"/>
    <col min="15368" max="15368" width="18" style="146" customWidth="1"/>
    <col min="15369" max="15369" width="127" style="146" customWidth="1"/>
    <col min="15370" max="15371" width="14.6328125" style="146"/>
    <col min="15372" max="15372" width="15" style="146" customWidth="1"/>
    <col min="15373" max="15374" width="14.6328125" style="146"/>
    <col min="15375" max="15375" width="16" style="146" customWidth="1"/>
    <col min="15376" max="15380" width="14.6328125" style="146"/>
    <col min="15381" max="15381" width="2.90625" style="146" customWidth="1"/>
    <col min="15382" max="15616" width="14.6328125" style="146"/>
    <col min="15617" max="15617" width="3.453125" style="146" customWidth="1"/>
    <col min="15618" max="15618" width="2.90625" style="146" customWidth="1"/>
    <col min="15619" max="15619" width="14.08984375" style="146" customWidth="1"/>
    <col min="15620" max="15620" width="28" style="146" customWidth="1"/>
    <col min="15621" max="15621" width="37.453125" style="146" customWidth="1"/>
    <col min="15622" max="15623" width="14.6328125" style="146"/>
    <col min="15624" max="15624" width="18" style="146" customWidth="1"/>
    <col min="15625" max="15625" width="127" style="146" customWidth="1"/>
    <col min="15626" max="15627" width="14.6328125" style="146"/>
    <col min="15628" max="15628" width="15" style="146" customWidth="1"/>
    <col min="15629" max="15630" width="14.6328125" style="146"/>
    <col min="15631" max="15631" width="16" style="146" customWidth="1"/>
    <col min="15632" max="15636" width="14.6328125" style="146"/>
    <col min="15637" max="15637" width="2.90625" style="146" customWidth="1"/>
    <col min="15638" max="15872" width="14.6328125" style="146"/>
    <col min="15873" max="15873" width="3.453125" style="146" customWidth="1"/>
    <col min="15874" max="15874" width="2.90625" style="146" customWidth="1"/>
    <col min="15875" max="15875" width="14.08984375" style="146" customWidth="1"/>
    <col min="15876" max="15876" width="28" style="146" customWidth="1"/>
    <col min="15877" max="15877" width="37.453125" style="146" customWidth="1"/>
    <col min="15878" max="15879" width="14.6328125" style="146"/>
    <col min="15880" max="15880" width="18" style="146" customWidth="1"/>
    <col min="15881" max="15881" width="127" style="146" customWidth="1"/>
    <col min="15882" max="15883" width="14.6328125" style="146"/>
    <col min="15884" max="15884" width="15" style="146" customWidth="1"/>
    <col min="15885" max="15886" width="14.6328125" style="146"/>
    <col min="15887" max="15887" width="16" style="146" customWidth="1"/>
    <col min="15888" max="15892" width="14.6328125" style="146"/>
    <col min="15893" max="15893" width="2.90625" style="146" customWidth="1"/>
    <col min="15894" max="16128" width="14.6328125" style="146"/>
    <col min="16129" max="16129" width="3.453125" style="146" customWidth="1"/>
    <col min="16130" max="16130" width="2.90625" style="146" customWidth="1"/>
    <col min="16131" max="16131" width="14.08984375" style="146" customWidth="1"/>
    <col min="16132" max="16132" width="28" style="146" customWidth="1"/>
    <col min="16133" max="16133" width="37.453125" style="146" customWidth="1"/>
    <col min="16134" max="16135" width="14.6328125" style="146"/>
    <col min="16136" max="16136" width="18" style="146" customWidth="1"/>
    <col min="16137" max="16137" width="127" style="146" customWidth="1"/>
    <col min="16138" max="16139" width="14.6328125" style="146"/>
    <col min="16140" max="16140" width="15" style="146" customWidth="1"/>
    <col min="16141" max="16142" width="14.6328125" style="146"/>
    <col min="16143" max="16143" width="16" style="146" customWidth="1"/>
    <col min="16144" max="16148" width="14.6328125" style="146"/>
    <col min="16149" max="16149" width="2.90625" style="146" customWidth="1"/>
    <col min="16150" max="16384" width="14.6328125" style="146"/>
  </cols>
  <sheetData>
    <row r="1" spans="2:21" ht="14.5" thickBot="1" x14ac:dyDescent="0.35"/>
    <row r="2" spans="2:21" ht="14.5" thickBot="1" x14ac:dyDescent="0.35">
      <c r="B2" s="682"/>
      <c r="C2" s="680"/>
      <c r="D2" s="680"/>
      <c r="E2" s="680"/>
      <c r="F2" s="681"/>
      <c r="G2" s="681"/>
      <c r="H2" s="676"/>
      <c r="I2" s="680"/>
      <c r="J2" s="679"/>
      <c r="K2" s="678"/>
      <c r="L2" s="677"/>
      <c r="M2" s="676"/>
      <c r="N2" s="676"/>
      <c r="O2" s="676"/>
      <c r="P2" s="676"/>
      <c r="Q2" s="676"/>
      <c r="R2" s="676"/>
      <c r="S2" s="676"/>
      <c r="T2" s="676"/>
      <c r="U2" s="675"/>
    </row>
    <row r="3" spans="2:21" ht="14.5" thickBot="1" x14ac:dyDescent="0.35">
      <c r="B3" s="674"/>
      <c r="C3" s="1408" t="s">
        <v>1175</v>
      </c>
      <c r="D3" s="1409"/>
      <c r="E3" s="1409"/>
      <c r="F3" s="1409"/>
      <c r="G3" s="1409"/>
      <c r="H3" s="1409"/>
      <c r="I3" s="1409"/>
      <c r="J3" s="1409"/>
      <c r="K3" s="1409"/>
      <c r="L3" s="1409"/>
      <c r="M3" s="1409"/>
      <c r="N3" s="1409"/>
      <c r="O3" s="1409"/>
      <c r="P3" s="1409"/>
      <c r="Q3" s="1409"/>
      <c r="R3" s="1409"/>
      <c r="S3" s="1409"/>
      <c r="T3" s="1410"/>
      <c r="U3" s="667"/>
    </row>
    <row r="4" spans="2:21" x14ac:dyDescent="0.3">
      <c r="B4" s="674"/>
      <c r="C4" s="668"/>
      <c r="D4" s="668"/>
      <c r="E4" s="672"/>
      <c r="F4" s="673"/>
      <c r="G4" s="673"/>
      <c r="H4" s="668"/>
      <c r="I4" s="672"/>
      <c r="J4" s="671"/>
      <c r="K4" s="670"/>
      <c r="L4" s="669"/>
      <c r="M4" s="668"/>
      <c r="N4" s="668"/>
      <c r="O4" s="668"/>
      <c r="P4" s="668"/>
      <c r="Q4" s="668"/>
      <c r="R4" s="668"/>
      <c r="S4" s="668"/>
      <c r="T4" s="668"/>
      <c r="U4" s="667"/>
    </row>
    <row r="5" spans="2:21" s="635" customFormat="1" x14ac:dyDescent="0.35">
      <c r="B5" s="655"/>
      <c r="C5" s="1407" t="s">
        <v>1168</v>
      </c>
      <c r="D5" s="1407" t="s">
        <v>1174</v>
      </c>
      <c r="E5" s="1407" t="s">
        <v>1173</v>
      </c>
      <c r="F5" s="1411" t="s">
        <v>1188</v>
      </c>
      <c r="G5" s="1411" t="s">
        <v>1187</v>
      </c>
      <c r="H5" s="1407" t="s">
        <v>1172</v>
      </c>
      <c r="I5" s="1407" t="s">
        <v>703</v>
      </c>
      <c r="J5" s="1407" t="s">
        <v>1171</v>
      </c>
      <c r="K5" s="1407" t="s">
        <v>1170</v>
      </c>
      <c r="L5" s="1407"/>
      <c r="M5" s="1407" t="s">
        <v>1169</v>
      </c>
      <c r="N5" s="1407"/>
      <c r="O5" s="1407"/>
      <c r="P5" s="1407"/>
      <c r="Q5" s="1407"/>
      <c r="R5" s="1407"/>
      <c r="S5" s="1407"/>
      <c r="T5" s="1407"/>
      <c r="U5" s="653"/>
    </row>
    <row r="6" spans="2:21" s="654" customFormat="1" ht="39" customHeight="1" x14ac:dyDescent="0.35">
      <c r="B6" s="664"/>
      <c r="C6" s="1407" t="s">
        <v>1168</v>
      </c>
      <c r="D6" s="1407"/>
      <c r="E6" s="1407"/>
      <c r="F6" s="1411"/>
      <c r="G6" s="1411"/>
      <c r="H6" s="1407"/>
      <c r="I6" s="1407"/>
      <c r="J6" s="1407"/>
      <c r="K6" s="666" t="s">
        <v>1167</v>
      </c>
      <c r="L6" s="666" t="s">
        <v>1166</v>
      </c>
      <c r="M6" s="665" t="s">
        <v>1165</v>
      </c>
      <c r="N6" s="665" t="s">
        <v>1164</v>
      </c>
      <c r="O6" s="690" t="s">
        <v>1186</v>
      </c>
      <c r="P6" s="665" t="s">
        <v>1163</v>
      </c>
      <c r="Q6" s="665" t="s">
        <v>1162</v>
      </c>
      <c r="R6" s="665" t="s">
        <v>1161</v>
      </c>
      <c r="S6" s="665" t="s">
        <v>1160</v>
      </c>
      <c r="T6" s="665" t="s">
        <v>1159</v>
      </c>
      <c r="U6" s="663"/>
    </row>
    <row r="7" spans="2:21" s="654" customFormat="1" x14ac:dyDescent="0.35">
      <c r="B7" s="664"/>
      <c r="C7" s="657"/>
      <c r="D7" s="661"/>
      <c r="E7" s="661"/>
      <c r="F7" s="657"/>
      <c r="G7" s="657"/>
      <c r="H7" s="657"/>
      <c r="I7" s="661"/>
      <c r="J7" s="657"/>
      <c r="K7" s="657"/>
      <c r="L7" s="657"/>
      <c r="M7" s="657"/>
      <c r="N7" s="657"/>
      <c r="O7" s="657"/>
      <c r="P7" s="657"/>
      <c r="Q7" s="657"/>
      <c r="R7" s="657"/>
      <c r="S7" s="657"/>
      <c r="T7" s="657"/>
      <c r="U7" s="663"/>
    </row>
    <row r="8" spans="2:21" s="635" customFormat="1" ht="88.25" customHeight="1" x14ac:dyDescent="0.35">
      <c r="B8" s="655">
        <v>1</v>
      </c>
      <c r="C8" s="658" t="str">
        <f>'[6]zona de intervención'!B8</f>
        <v>AZUAY</v>
      </c>
      <c r="D8" s="660" t="str">
        <f>'[6]zona de intervención'!E8</f>
        <v>Las Nieves</v>
      </c>
      <c r="E8" s="688" t="s">
        <v>1157</v>
      </c>
      <c r="F8" s="658">
        <f>'[6]zona de intervención'!J8</f>
        <v>200</v>
      </c>
      <c r="G8" s="658">
        <f>'[6]zona de intervención'!K8</f>
        <v>230</v>
      </c>
      <c r="H8" s="687">
        <f>'[6]zona de intervención'!L8</f>
        <v>42857.35</v>
      </c>
      <c r="I8" s="686" t="str">
        <f>'[6]zona de intervención'!AS8</f>
        <v>En el mes de abril de 2017, se realiza el documento de convenio. En mayo 2017 se realiza las especificaciones técnicas del PFSC y visitas de campo para la validación de las mismas. El convenio se encuentra en Quito para su suscripción. Junio 2017 Reuniones para validación y presentacion del PFSC. Julio.- Legalización de documentos para presentar el PACC de la parroquia para su aval al MAE. Agosto, Coordinación para participación Festival de Saberes y Sabores en Saraguro Septiembre.- Organización con GAD para participación de beneficiarios en evento de Saraguro Octubre.- Socializaci{on PFSC</v>
      </c>
      <c r="J8" s="658" t="s">
        <v>1090</v>
      </c>
      <c r="K8" s="656">
        <f>'[6]zona de intervención'!W8</f>
        <v>41776</v>
      </c>
      <c r="L8" s="656">
        <f>'[6]zona de intervención'!Y8</f>
        <v>41775</v>
      </c>
      <c r="M8" s="657" t="str">
        <f>IF('[6]zona de intervención'!T8=1,"DONE",IF('[6]zona de intervención'!T8=0,"Without measure","In progress"))</f>
        <v>DONE</v>
      </c>
      <c r="N8" s="657" t="str">
        <f>IF('[6]zona de intervención'!U8=1,"DONE",IF('[6]zona de intervención'!U8=0,"Without measure","In progress"))</f>
        <v>DONE</v>
      </c>
      <c r="O8" s="657" t="str">
        <f>IF('[6]zona de intervención'!W8&gt;1/1/2014,"DONE","In progress")</f>
        <v>DONE</v>
      </c>
      <c r="P8" s="657" t="str">
        <f>IF('[6]zona de intervención'!AC8=1,"DONE",IF('[6]zona de intervención'!AC8=0,"Without measure","In progress"))</f>
        <v>DONE</v>
      </c>
      <c r="Q8" s="657" t="str">
        <f>IF('[6]zona de intervención'!AD8=1,"DONE",IF('[6]zona de intervención'!AD8=0,"Without measure","In progress"))</f>
        <v>DONE</v>
      </c>
      <c r="R8" s="657" t="str">
        <f>IF('[6]zona de intervención'!AE8=1,"DONE",IF('[6]zona de intervención'!AE8=0,"Without measure","In progress"))</f>
        <v>DONE</v>
      </c>
      <c r="S8" s="657" t="str">
        <f>IF('[6]zona de intervención'!AF8=1,"DONE",IF('[6]zona de intervención'!AF8=0,"Without measure","In progress"))</f>
        <v>DONE</v>
      </c>
      <c r="T8" s="657" t="str">
        <f>IF('[6]zona de intervención'!AG8=1,"DONE",IF('[6]zona de intervención'!AG8=0,"Without measure","In progress"))</f>
        <v>DONE</v>
      </c>
      <c r="U8" s="653"/>
    </row>
    <row r="9" spans="2:21" s="635" customFormat="1" ht="139.25" customHeight="1" x14ac:dyDescent="0.35">
      <c r="B9" s="655">
        <f t="shared" ref="B9:B40" si="0">+B8+1</f>
        <v>2</v>
      </c>
      <c r="C9" s="658" t="str">
        <f>'[6]zona de intervención'!B9</f>
        <v>AZUAY</v>
      </c>
      <c r="D9" s="660" t="str">
        <f>'[6]zona de intervención'!E9</f>
        <v>El Progreso</v>
      </c>
      <c r="E9" s="688" t="s">
        <v>1155</v>
      </c>
      <c r="F9" s="658">
        <f>'[6]zona de intervención'!J9</f>
        <v>276</v>
      </c>
      <c r="G9" s="658">
        <f>'[6]zona de intervención'!K9</f>
        <v>158</v>
      </c>
      <c r="H9" s="687">
        <f>'[6]zona de intervención'!L9</f>
        <v>69156.2</v>
      </c>
      <c r="I9" s="686" t="str">
        <f>'[6]zona de intervención'!AS9</f>
        <v>En enero de 2017 no existieron actividades en la parroquia El Progreso. En el mes de febrero de 2017,  Taller de cierre técnico de medidas. Socializción de análisis de vulnerabilidad y plan de adaptación al cambio climático. En el mes de marzo de 2017, se entrega computadoras para estudiantes con el fin de fortalecer sus capacidades. En el mes de abril  de 2017 se ha trabajado en la socialización y validación de incentivos para realizara las especificaciones técnicas y plan de Fortalecimiento, sostenibilidad y cierre. En mayo se realizó la entrega de computadoras a la Unidad Educativa el Progreso como parte de los alicientes motivaconales y la elaboración del PFSC. Junio 2017 Reuniones para validación y presentacion del PFSC, segumiento a las zonas implementadas, prefocalización de familias para implementación del PFSC. Julio.- Elaboración informe trimestral, seguimiento y monitoreo de acciones implementadas.Agosto, Coordinación para participación Festival de Saberes y Sabores en Saraguro Septiembre.- Organización con GAD para participación de beneficiarios en evento de Saraguro Octubre.- Socialización del PFSC</v>
      </c>
      <c r="J9" s="658" t="str">
        <f>'[6]zona de intervención'!D9</f>
        <v>MAE</v>
      </c>
      <c r="K9" s="656">
        <f>'[6]zona de intervención'!W9</f>
        <v>42156</v>
      </c>
      <c r="L9" s="656">
        <f>'[6]zona de intervención'!Y9</f>
        <v>42277</v>
      </c>
      <c r="M9" s="657" t="str">
        <f>IF('[6]zona de intervención'!T9=1,"DONE",IF('[6]zona de intervención'!T9=0,"Without measure","In progress"))</f>
        <v>DONE</v>
      </c>
      <c r="N9" s="657" t="str">
        <f>IF('[6]zona de intervención'!U9=1,"DONE",IF('[6]zona de intervención'!U9=0,"Without measure","In progress"))</f>
        <v>DONE</v>
      </c>
      <c r="O9" s="657" t="str">
        <f>IF('[6]zona de intervención'!W9&gt;1/1/2014,"DONE","In progress")</f>
        <v>DONE</v>
      </c>
      <c r="P9" s="657" t="str">
        <f>IF('[6]zona de intervención'!AC9=1,"DONE",IF('[6]zona de intervención'!AC9=0,"Without measure","In progress"))</f>
        <v>DONE</v>
      </c>
      <c r="Q9" s="657" t="str">
        <f>IF('[6]zona de intervención'!AD9=1,"DONE",IF('[6]zona de intervención'!AD9=0,"Without measure","In progress"))</f>
        <v>DONE</v>
      </c>
      <c r="R9" s="657" t="str">
        <f>IF('[6]zona de intervención'!AE9=1,"DONE",IF('[6]zona de intervención'!AE9=0,"Without measure","In progress"))</f>
        <v>DONE</v>
      </c>
      <c r="S9" s="657" t="str">
        <f>IF('[6]zona de intervención'!AF9=1,"DONE",IF('[6]zona de intervención'!AF9=0,"Without measure","In progress"))</f>
        <v>DONE</v>
      </c>
      <c r="T9" s="657" t="str">
        <f>IF('[6]zona de intervención'!AG9=1,"DONE",IF('[6]zona de intervención'!AG9=0,"Without measure","In progress"))</f>
        <v>In progress</v>
      </c>
      <c r="U9" s="653"/>
    </row>
    <row r="10" spans="2:21" s="635" customFormat="1" ht="131.4" customHeight="1" x14ac:dyDescent="0.35">
      <c r="B10" s="655">
        <f t="shared" si="0"/>
        <v>3</v>
      </c>
      <c r="C10" s="658" t="str">
        <f>'[6]zona de intervención'!B10</f>
        <v>AZUAY</v>
      </c>
      <c r="D10" s="660" t="str">
        <f>'[6]zona de intervención'!E10</f>
        <v>Cabecera Cantonal Nabón</v>
      </c>
      <c r="E10" s="688" t="s">
        <v>1153</v>
      </c>
      <c r="F10" s="658">
        <f>'[6]zona de intervención'!J10</f>
        <v>950</v>
      </c>
      <c r="G10" s="658">
        <f>'[6]zona de intervención'!K10</f>
        <v>925</v>
      </c>
      <c r="H10" s="687">
        <f>'[6]zona de intervención'!L10</f>
        <v>84637.92</v>
      </c>
      <c r="I10" s="686" t="str">
        <f>'[6]zona de intervención'!AS10</f>
        <v>En el mes de enero de 2017, revisión de informes trimestrales, socialización del sistema Monjas Aguarongo con cabildo y nuevas autoridades del sistema. Recorrido al sistema. Y contratación del consorcio Hydrotec para implementación. En el mes de febrero de 2017, Fiscalización de obra del sistema de riego Monjas Aguarongo. En el mes de marzo de 2017, Pruebas del sistema de riego Monjas Aguarongo y visita de la Lic. María Victoria Chiriboga, subsecretaria de cambio climático. En el mes de abril de 2017, Socialización y validación de incentivos para desarrollar las Especificaciones técnicas y planes de Fortalecimiento, Sostenibilidad y Cierre. En mayo 2017 se realizó la entrega e inauguración del Sistema de Riego Monjas Aguarongo, elaboración del PFSC.  Junio 2017, Prefocalización de familias para implementación del PFSC, seguimiento a medidas implementadas, validación y presentación del PRSC. Julio.- Elaboración de informe trimestral, seguimiento y monitoreo de acciones implementadas, taller de evaluación final. Agosto, Coordinación para participación Festival de Saberes y Sabores en Saraguro Septiembre.- Organización con GAD para participación de beneficiarios en evento de Saraguro Octubre.- Segumiento, monitoreo socailización del PFSC</v>
      </c>
      <c r="J10" s="658" t="str">
        <f>'[6]zona de intervención'!D10</f>
        <v>MAE</v>
      </c>
      <c r="K10" s="656">
        <f>'[6]zona de intervención'!W10</f>
        <v>42244</v>
      </c>
      <c r="L10" s="656">
        <f>'[6]zona de intervención'!Y10</f>
        <v>42299</v>
      </c>
      <c r="M10" s="657" t="str">
        <f>IF('[6]zona de intervención'!T10=1,"DONE",IF('[6]zona de intervención'!T10=0,"Without measure","In progress"))</f>
        <v>DONE</v>
      </c>
      <c r="N10" s="657" t="str">
        <f>IF('[6]zona de intervención'!U10=1,"DONE",IF('[6]zona de intervención'!U10=0,"Without measure","In progress"))</f>
        <v>DONE</v>
      </c>
      <c r="O10" s="657" t="str">
        <f>IF('[6]zona de intervención'!W10&gt;1/1/2014,"DONE","In progress")</f>
        <v>DONE</v>
      </c>
      <c r="P10" s="657" t="str">
        <f>IF('[6]zona de intervención'!AC10=1,"DONE",IF('[6]zona de intervención'!AC10=0,"Without measure","In progress"))</f>
        <v>DONE</v>
      </c>
      <c r="Q10" s="657" t="str">
        <f>IF('[6]zona de intervención'!AD10=1,"DONE",IF('[6]zona de intervención'!AD10=0,"Without measure","In progress"))</f>
        <v>DONE</v>
      </c>
      <c r="R10" s="657" t="str">
        <f>IF('[6]zona de intervención'!AE10=1,"DONE",IF('[6]zona de intervención'!AE10=0,"Without measure","In progress"))</f>
        <v>DONE</v>
      </c>
      <c r="S10" s="657" t="str">
        <f>IF('[6]zona de intervención'!AF10=1,"DONE",IF('[6]zona de intervención'!AF10=0,"Without measure","In progress"))</f>
        <v>DONE</v>
      </c>
      <c r="T10" s="657" t="str">
        <f>IF('[6]zona de intervención'!AG10=1,"DONE",IF('[6]zona de intervención'!AG10=0,"Without measure","In progress"))</f>
        <v>In progress</v>
      </c>
      <c r="U10" s="653"/>
    </row>
    <row r="11" spans="2:21" s="635" customFormat="1" ht="148.25" customHeight="1" x14ac:dyDescent="0.35">
      <c r="B11" s="655">
        <f t="shared" si="0"/>
        <v>4</v>
      </c>
      <c r="C11" s="658" t="str">
        <f>'[6]zona de intervención'!B11</f>
        <v>AZUAY</v>
      </c>
      <c r="D11" s="660" t="str">
        <f>'[6]zona de intervención'!E11</f>
        <v>Cochapata</v>
      </c>
      <c r="E11" s="688" t="s">
        <v>1151</v>
      </c>
      <c r="F11" s="658">
        <f>'[6]zona de intervención'!J11</f>
        <v>450</v>
      </c>
      <c r="G11" s="658">
        <f>'[6]zona de intervención'!K11</f>
        <v>450</v>
      </c>
      <c r="H11" s="687">
        <f>'[6]zona de intervención'!L11</f>
        <v>150675.81</v>
      </c>
      <c r="I11" s="686" t="str">
        <f>'[6]zona de intervención'!AS11</f>
        <v xml:space="preserve"> En enero de 2017, Recorrido del sistema Zhincata Granadillas para verificación de obras, contratación del consorcio Hydrotech para la implementación.  Seguimiento a huertos. En el mes de febrero de 2017, fiscalización de obras de riego Zhincata - Granadillas, talleres en temas especificos de la medida, seguimiento y monitoreo de huertas. En el mes de marzo de 2017, Proceso de implementación del sistema Zhincata - Granadilla, taller de fruticultura y horticultura. Socialización de plan de adaptación al cambio climático y envio de resolución a MAE. En mayo se realizó la entrega e inauguración del Sistema de Riego Zhincata - Granadilla, elaboración del PFSC. Junio 2017.- Seguimiento a la infraestructura implementada, validación de acciones del PNRF y recorrido de campo para verificación de sitios para implementar las acciones del PFSC. Julio .- Elaboración informe trimestral, seguimiento y monitoreo de acciones implementadas, recorrdio del canal de riego Zhincata Granadillas para levantamiento de información, ajuste de PFSC y de especificaciones técnicas para implementación de acciones en cmpo. Septiembre.- Organización con GAD para participación de beneficiarios en evento de Saraguro, taller de culminación de medida, socialización del PFSC, visita de obras por parte de oficial de PMA Octubre.- Segumiento, monitoreo socailización del PFSC</v>
      </c>
      <c r="J11" s="658" t="str">
        <f>'[6]zona de intervención'!D11</f>
        <v>MAE</v>
      </c>
      <c r="K11" s="656">
        <f>'[6]zona de intervención'!W11</f>
        <v>42461</v>
      </c>
      <c r="L11" s="656">
        <f>'[6]zona de intervención'!Y11</f>
        <v>42558</v>
      </c>
      <c r="M11" s="657" t="str">
        <f>IF('[6]zona de intervención'!T11=1,"DONE",IF('[6]zona de intervención'!T11=0,"Without measure","In progress"))</f>
        <v>DONE</v>
      </c>
      <c r="N11" s="657" t="str">
        <f>IF('[6]zona de intervención'!U11=1,"DONE",IF('[6]zona de intervención'!U11=0,"Without measure","In progress"))</f>
        <v>DONE</v>
      </c>
      <c r="O11" s="657" t="str">
        <f>IF('[6]zona de intervención'!W11&gt;1/1/2014,"DONE","In progress")</f>
        <v>DONE</v>
      </c>
      <c r="P11" s="657" t="str">
        <f>IF('[6]zona de intervención'!AC11=1,"DONE",IF('[6]zona de intervención'!AC11=0,"Without measure","In progress"))</f>
        <v>DONE</v>
      </c>
      <c r="Q11" s="657" t="str">
        <f>IF('[6]zona de intervención'!AD11=1,"DONE",IF('[6]zona de intervención'!AD11=0,"Without measure","In progress"))</f>
        <v>DONE</v>
      </c>
      <c r="R11" s="657" t="str">
        <f>IF('[6]zona de intervención'!AE11=1,"DONE",IF('[6]zona de intervención'!AE11=0,"Without measure","In progress"))</f>
        <v>DONE</v>
      </c>
      <c r="S11" s="657" t="str">
        <f>IF('[6]zona de intervención'!AF11=1,"DONE",IF('[6]zona de intervención'!AF11=0,"Without measure","In progress"))</f>
        <v>DONE</v>
      </c>
      <c r="T11" s="657" t="str">
        <f>IF('[6]zona de intervención'!AG11=1,"DONE",IF('[6]zona de intervención'!AG11=0,"Without measure","In progress"))</f>
        <v>In progress</v>
      </c>
      <c r="U11" s="653"/>
    </row>
    <row r="12" spans="2:21" s="635" customFormat="1" ht="90.65" customHeight="1" x14ac:dyDescent="0.35">
      <c r="B12" s="655">
        <f t="shared" si="0"/>
        <v>5</v>
      </c>
      <c r="C12" s="658" t="str">
        <f>'[6]zona de intervención'!B12</f>
        <v>AZUAY</v>
      </c>
      <c r="D12" s="660" t="str">
        <f>'[6]zona de intervención'!E12</f>
        <v>Shaglly</v>
      </c>
      <c r="E12" s="688" t="s">
        <v>1149</v>
      </c>
      <c r="F12" s="658">
        <f>'[6]zona de intervención'!J12</f>
        <v>240</v>
      </c>
      <c r="G12" s="658">
        <f>'[6]zona de intervención'!K12</f>
        <v>170</v>
      </c>
      <c r="H12" s="687">
        <f>'[6]zona de intervención'!L12</f>
        <v>46220.25</v>
      </c>
      <c r="I12" s="686" t="str">
        <f>'[6]zona de intervención'!AS12</f>
        <v>En el mes de marzo de 2017, se analiza la posibilidad de medida de adaptación. En el mes de abril de 2017, gestiones teléfonicas para fortalecer la medida de adaptación. En mayo 2017 eaboración de especificaciones técnicas del PFSC. El convenio se encuentra en Quito para su suscripción En Junio 2017.: Acercaciento para la presentación de PFSC. Julio,- Aprobación y firma de resolución del PACC por parte del consejo parroquial. Septiembre.- Organización y participación en Festival de Sabores y Saberes en Saraguro, calificación de ofertas de materiales e insumos para implementación del PFSC. Taller de socialización del PFSC en la comunidad de Bellavista Octubre.-  Socailización del PFSC</v>
      </c>
      <c r="J12" s="658" t="str">
        <f>'[6]zona de intervención'!D12</f>
        <v>CCRJ</v>
      </c>
      <c r="K12" s="656">
        <f>'[6]zona de intervención'!W12</f>
        <v>41821</v>
      </c>
      <c r="L12" s="656">
        <f>'[6]zona de intervención'!Y12</f>
        <v>41834</v>
      </c>
      <c r="M12" s="657" t="str">
        <f>IF('[6]zona de intervención'!T12=1,"DONE",IF('[6]zona de intervención'!T12=0,"Without measure","In progress"))</f>
        <v>DONE</v>
      </c>
      <c r="N12" s="657" t="str">
        <f>IF('[6]zona de intervención'!U12=1,"DONE",IF('[6]zona de intervención'!U12=0,"Without measure","In progress"))</f>
        <v>DONE</v>
      </c>
      <c r="O12" s="657" t="str">
        <f>IF('[6]zona de intervención'!W12&gt;1/1/2014,"DONE","In progress")</f>
        <v>DONE</v>
      </c>
      <c r="P12" s="657" t="str">
        <f>IF('[6]zona de intervención'!AC12=1,"DONE",IF('[6]zona de intervención'!AC12=0,"Without measure","In progress"))</f>
        <v>DONE</v>
      </c>
      <c r="Q12" s="657" t="str">
        <f>IF('[6]zona de intervención'!AD12=1,"DONE",IF('[6]zona de intervención'!AD12=0,"Without measure","In progress"))</f>
        <v>DONE</v>
      </c>
      <c r="R12" s="657" t="str">
        <f>IF('[6]zona de intervención'!AE12=1,"DONE",IF('[6]zona de intervención'!AE12=0,"Without measure","In progress"))</f>
        <v>DONE</v>
      </c>
      <c r="S12" s="657" t="str">
        <f>IF('[6]zona de intervención'!AF12=1,"DONE",IF('[6]zona de intervención'!AF12=0,"Without measure","In progress"))</f>
        <v>DONE</v>
      </c>
      <c r="T12" s="657" t="str">
        <f>IF('[6]zona de intervención'!AG12=1,"DONE",IF('[6]zona de intervención'!AG12=0,"Without measure","In progress"))</f>
        <v>DONE</v>
      </c>
      <c r="U12" s="653"/>
    </row>
    <row r="13" spans="2:21" s="635" customFormat="1" ht="223.25" customHeight="1" x14ac:dyDescent="0.35">
      <c r="B13" s="655">
        <f t="shared" si="0"/>
        <v>6</v>
      </c>
      <c r="C13" s="658" t="str">
        <f>'[6]zona de intervención'!B13</f>
        <v>AZUAY</v>
      </c>
      <c r="D13" s="660" t="str">
        <f>'[6]zona de intervención'!E13</f>
        <v>Abdón Calderón</v>
      </c>
      <c r="E13" s="688" t="s">
        <v>1147</v>
      </c>
      <c r="F13" s="658">
        <f>'[6]zona de intervención'!J13</f>
        <v>350</v>
      </c>
      <c r="G13" s="658">
        <f>'[6]zona de intervención'!K13</f>
        <v>350</v>
      </c>
      <c r="H13" s="687">
        <f>'[6]zona de intervención'!L13</f>
        <v>69267.199999999997</v>
      </c>
      <c r="I13" s="686" t="str">
        <f>'[6]zona de intervención'!AS13</f>
        <v>En enero de 2017, Socialización de plan de adaptación y analisis de vulnerabilidad, elaboración de informe trimestral, levantamiento de líneas bases. Suscripción de adenda por parte del GAD, reuniones de trabajo para coordinar ficha ambiental y análisis de agua. En el mes de febrero de 2017, Socialización de Análisis de Vulnerabilidad y Plan de Adaptación al Cambio Climático, presentación de resolución y plan al Ministerio del Ambiente, gestiones con el GAD para cierre técnico de la medida, coordinación interinstitucional para visita del GAD Cañaribamba a la planta, elaboración de 48 lineas base de agua potable para comunidad y junta de agua, 48 encuestas de seguridad alimentaria elaboradas. Historia de vida para el PMA. En el mes de marzo de 2017, taller de evaluación y cierre de medida. Visita de la Subsecretaria de Cambio Climático. En el mes de abril de 2017, monitoreo y seguimiento de medida de adaptación al cambio climático, recorrido para identificar necesidad de fortalecimiento y sostenibilidad de la medida de adaptación implementada por el proyecto FORECCSA. Se participo el comite técnico local del Azuay. En mayo elaboración de especificaciones técnicas de Surupali Chico y entrega definitiva de planta de agua de potabilización de agua para consumo. El Plan de Adaptación se encuentra en Quito para aprobación del Ministro. Junio 2017.: Acercaciento para determinar acciones sobre el sistema de agua potable de Sulupali Chico. Julio,- Organización de feria de la caña. Agosto, Coordinación para participación Festival de Saberes y Sabores en Saraguro, Desarrollo de Feria de Saberes y Sabores Ancestrales Septiembre:- Organización y participación en Festival de Sabores y Saberes en Saraguro, calificación de ofertas para implementación del PFSC, Inspección tecnica de SENAGUA para verificación de construcción y funcionamiento de la planta de agua potable. Octubre.- Socailización del PFSC, desarrollo de taller de SENAGUA para dar lineamientos para legalizaci{on de Juntas, Proceso de aprobaci{on de reinversi{on de saldos del PFSC</v>
      </c>
      <c r="J13" s="658" t="str">
        <f>'[6]zona de intervención'!D13</f>
        <v>MAE</v>
      </c>
      <c r="K13" s="656">
        <f>'[6]zona de intervención'!W13</f>
        <v>42327</v>
      </c>
      <c r="L13" s="656">
        <f>'[6]zona de intervención'!Y13</f>
        <v>42375</v>
      </c>
      <c r="M13" s="657" t="str">
        <f>IF('[6]zona de intervención'!T13=1,"DONE",IF('[6]zona de intervención'!T13=0,"Without measure","In progress"))</f>
        <v>DONE</v>
      </c>
      <c r="N13" s="657" t="str">
        <f>IF('[6]zona de intervención'!U13=1,"DONE",IF('[6]zona de intervención'!U13=0,"Without measure","In progress"))</f>
        <v>DONE</v>
      </c>
      <c r="O13" s="657" t="str">
        <f>IF('[6]zona de intervención'!W13&gt;1/1/2014,"DONE","In progress")</f>
        <v>DONE</v>
      </c>
      <c r="P13" s="657" t="str">
        <f>IF('[6]zona de intervención'!AC13=1,"DONE",IF('[6]zona de intervención'!AC13=0,"Without measure","In progress"))</f>
        <v>DONE</v>
      </c>
      <c r="Q13" s="657" t="str">
        <f>IF('[6]zona de intervención'!AD13=1,"DONE",IF('[6]zona de intervención'!AD13=0,"Without measure","In progress"))</f>
        <v>DONE</v>
      </c>
      <c r="R13" s="657" t="str">
        <f>IF('[6]zona de intervención'!AE13=1,"DONE",IF('[6]zona de intervención'!AE13=0,"Without measure","In progress"))</f>
        <v>DONE</v>
      </c>
      <c r="S13" s="657" t="str">
        <f>IF('[6]zona de intervención'!AF13=1,"DONE",IF('[6]zona de intervención'!AF13=0,"Without measure","In progress"))</f>
        <v>DONE</v>
      </c>
      <c r="T13" s="657" t="str">
        <f>IF('[6]zona de intervención'!AG13=1,"DONE",IF('[6]zona de intervención'!AG13=0,"Without measure","In progress"))</f>
        <v>In progress</v>
      </c>
      <c r="U13" s="653"/>
    </row>
    <row r="14" spans="2:21" s="635" customFormat="1" ht="92" customHeight="1" x14ac:dyDescent="0.35">
      <c r="B14" s="655">
        <f t="shared" si="0"/>
        <v>7</v>
      </c>
      <c r="C14" s="658" t="str">
        <f>'[6]zona de intervención'!B14</f>
        <v>AZUAY</v>
      </c>
      <c r="D14" s="660" t="str">
        <f>'[6]zona de intervención'!E14</f>
        <v>El Carmen de Pijilí</v>
      </c>
      <c r="E14" s="688" t="s">
        <v>1145</v>
      </c>
      <c r="F14" s="658">
        <f>'[6]zona de intervención'!J14</f>
        <v>73</v>
      </c>
      <c r="G14" s="658">
        <f>'[6]zona de intervención'!K14</f>
        <v>73</v>
      </c>
      <c r="H14" s="687">
        <f>'[6]zona de intervención'!L14</f>
        <v>40638.83</v>
      </c>
      <c r="I14" s="686" t="str">
        <f>'[6]zona de intervención'!AS14</f>
        <v>En enero de 2017, no han habido actividades en la parroquia en espera de los procesos de adquisición y firma de convenio. En febrero de 2017, socialización de análisis de vulnerabilidad y plan de adaptanción y envio al ministerio del ambiente.  Recepción de convenio para suscripción. Remisión de cuadros comparatibos para adquisiciones. En Marzo del 2017 se dispone el convenio firmado. En el mes de abril de 2017, se realizó la entrega de insumos. En mayo elaboración de especificaciones técnicas y  Plan de Fortalecimiento Sostenibilidad y Cierre. Junio 2017. Se remitió las líneas bases iniciales Julio. Elaboración informe trimestral  Coordinación para participación Festival de Saberes y Sabores en Saraguro Septiembre,- Organización para participación en eveno Saraguro Octubre.- Elaboración de informe trimestral, socializaci{on del PFSC.</v>
      </c>
      <c r="J14" s="658" t="str">
        <f>'[6]zona de intervención'!D14</f>
        <v>MAE</v>
      </c>
      <c r="K14" s="656">
        <f>'[6]zona de intervención'!W14</f>
        <v>42675</v>
      </c>
      <c r="L14" s="656">
        <f>'[6]zona de intervención'!Y14</f>
        <v>42768</v>
      </c>
      <c r="M14" s="657" t="str">
        <f>IF('[6]zona de intervención'!T14=1,"DONE",IF('[6]zona de intervención'!T14=0,"Without measure","In progress"))</f>
        <v>DONE</v>
      </c>
      <c r="N14" s="657" t="str">
        <f>IF('[6]zona de intervención'!U14=1,"DONE",IF('[6]zona de intervención'!U14=0,"Without measure","In progress"))</f>
        <v>DONE</v>
      </c>
      <c r="O14" s="657" t="str">
        <f>IF('[6]zona de intervención'!W14&gt;1/1/2014,"DONE","In progress")</f>
        <v>DONE</v>
      </c>
      <c r="P14" s="657" t="str">
        <f>IF('[6]zona de intervención'!AC14=1,"DONE",IF('[6]zona de intervención'!AC14=0,"Without measure","In progress"))</f>
        <v>DONE</v>
      </c>
      <c r="Q14" s="657" t="str">
        <f>IF('[6]zona de intervención'!AD14=1,"DONE",IF('[6]zona de intervención'!AD14=0,"Without measure","In progress"))</f>
        <v>DONE</v>
      </c>
      <c r="R14" s="657" t="str">
        <f>IF('[6]zona de intervención'!AE14=1,"DONE",IF('[6]zona de intervención'!AE14=0,"Without measure","In progress"))</f>
        <v>DONE</v>
      </c>
      <c r="S14" s="657" t="str">
        <f>IF('[6]zona de intervención'!AF14=1,"DONE",IF('[6]zona de intervención'!AF14=0,"Without measure","In progress"))</f>
        <v>DONE</v>
      </c>
      <c r="T14" s="657" t="str">
        <f>IF('[6]zona de intervención'!AG14=1,"DONE",IF('[6]zona de intervención'!AG14=0,"Without measure","In progress"))</f>
        <v>In progress</v>
      </c>
      <c r="U14" s="653"/>
    </row>
    <row r="15" spans="2:21" s="635" customFormat="1" ht="151.25" customHeight="1" x14ac:dyDescent="0.35">
      <c r="B15" s="655">
        <f t="shared" si="0"/>
        <v>8</v>
      </c>
      <c r="C15" s="658" t="str">
        <f>'[6]zona de intervención'!B15</f>
        <v>AZUAY</v>
      </c>
      <c r="D15" s="660" t="str">
        <f>'[6]zona de intervención'!E15</f>
        <v xml:space="preserve">Santa Isabel Cabecera cantonal
</v>
      </c>
      <c r="E15" s="660" t="s">
        <v>1185</v>
      </c>
      <c r="F15" s="658">
        <f>'[6]zona de intervención'!J15</f>
        <v>60</v>
      </c>
      <c r="G15" s="658">
        <f>'[6]zona de intervención'!K15</f>
        <v>60</v>
      </c>
      <c r="H15" s="687">
        <f>'[6]zona de intervención'!L15</f>
        <v>36542</v>
      </c>
      <c r="I15" s="686" t="str">
        <f>'[6]zona de intervención'!AS15</f>
        <v>Se realizará como caso piloto que capitalice la experiencia previas e innove la aplicación de los enfoques del Proyecto. Se planifica su implementación para el 2016-2017 y el cierre 2017. En febrero de 2017, acercamiento al GAD para definir la medida, y visita a planta de agua de Abdón Calderon. En marzo de 2017 en proceso de elaboración de la medida de San Salvador de Cañaribamba. El 19 de abril de 2017. El Gad Parroquial de Cañaribamba mediante oficio N° GAD-PQ-SSC-2017-48-E. manifiesta que no participará en el proyecto. Junio 2017.: Reuniones con el GAD de Santa Isabel para el diseño de nuevas medidas de adaptación. Julio.- Diseño de medida de adaptación a implementar Agosto, Coordinación para participación Festival de Saberes y Sabores en Saraguro Septiembre.- Proceso de levantamiento de información base de vulnerabilidades a Cambio climático, identificación de una medida de adaptación, Recorridos de campo para validación de especificaciones técnicas referente a riego y se fomentó un acercamineto de las juntas de agua con el Gobierno Provincial para complemento de obras. Septiembre,- Recopilación de doumentación para la aprobación de medidas de adaptación ane CDN, se conversó con Unidad de Riego del Gobierno Provincial para ver posibilidad de complementar las obras que se implementarán con el proyecto FORECCSA Octubre.- Proceso de solicitud de aprobación de medidas de adaptaci{on para Santa Isabel y Cañaribamba</v>
      </c>
      <c r="J15" s="658" t="str">
        <f>'[6]zona de intervención'!D15</f>
        <v>MAE</v>
      </c>
      <c r="K15" s="656">
        <f>'[6]zona de intervención'!W15</f>
        <v>43024</v>
      </c>
      <c r="L15" s="656" t="str">
        <f>'[6]zona de intervención'!Y15</f>
        <v>1er trimestre 2018</v>
      </c>
      <c r="M15" s="657" t="str">
        <f>IF('[6]zona de intervención'!T15=1,"DONE",IF('[6]zona de intervención'!T15=0,"Without measure","In progress"))</f>
        <v>Without measure</v>
      </c>
      <c r="N15" s="657" t="str">
        <f>IF('[6]zona de intervención'!U15=1,"DONE",IF('[6]zona de intervención'!U15=0,"Without measure","In progress"))</f>
        <v>Without measure</v>
      </c>
      <c r="O15" s="657" t="str">
        <f>IF('[6]zona de intervención'!W15&gt;1/1/2014,"DONE","In progress")</f>
        <v>DONE</v>
      </c>
      <c r="P15" s="657" t="str">
        <f>IF('[6]zona de intervención'!AC15=1,"DONE",IF('[6]zona de intervención'!AC15=0,"Without measure","In progress"))</f>
        <v>In progress</v>
      </c>
      <c r="Q15" s="657" t="str">
        <f>IF('[6]zona de intervención'!AD15=1,"DONE",IF('[6]zona de intervención'!AD15=0,"Without measure","In progress"))</f>
        <v>In progress</v>
      </c>
      <c r="R15" s="657" t="str">
        <f>IF('[6]zona de intervención'!AE15=1,"DONE",IF('[6]zona de intervención'!AE15=0,"Without measure","In progress"))</f>
        <v>In progress</v>
      </c>
      <c r="S15" s="657" t="str">
        <f>IF('[6]zona de intervención'!AF15=1,"DONE",IF('[6]zona de intervención'!AF15=0,"Without measure","In progress"))</f>
        <v>In progress</v>
      </c>
      <c r="T15" s="657" t="str">
        <f>IF('[6]zona de intervención'!AG15=1,"DONE",IF('[6]zona de intervención'!AG15=0,"Without measure","In progress"))</f>
        <v>In progress</v>
      </c>
      <c r="U15" s="653"/>
    </row>
    <row r="16" spans="2:21" s="635" customFormat="1" ht="96.75" customHeight="1" x14ac:dyDescent="0.35">
      <c r="B16" s="655">
        <f t="shared" si="0"/>
        <v>9</v>
      </c>
      <c r="C16" s="658" t="str">
        <f>'[6]zona de intervención'!B16</f>
        <v>AZUAY</v>
      </c>
      <c r="D16" s="660" t="str">
        <f>'[6]zona de intervención'!E16</f>
        <v>Cañaribamba</v>
      </c>
      <c r="E16" s="660" t="s">
        <v>1184</v>
      </c>
      <c r="F16" s="658">
        <f>'[6]zona de intervención'!J16</f>
        <v>68</v>
      </c>
      <c r="G16" s="658">
        <f>'[6]zona de intervención'!K16</f>
        <v>68</v>
      </c>
      <c r="H16" s="687">
        <f>'[6]zona de intervención'!L16</f>
        <v>36651</v>
      </c>
      <c r="I16" s="686" t="str">
        <f>'[6]zona de intervención'!AS16</f>
        <v xml:space="preserve"> Octubre.- Proceso de solicitud de aprobación de medidas de adaptación para Santa Isabel y Cañaribamba</v>
      </c>
      <c r="J16" s="658" t="str">
        <f>'[6]zona de intervención'!D16</f>
        <v>MAE</v>
      </c>
      <c r="K16" s="656">
        <f>'[6]zona de intervención'!W16</f>
        <v>43024</v>
      </c>
      <c r="L16" s="656" t="str">
        <f>'[6]zona de intervención'!Y16</f>
        <v>1er trimestre 2018</v>
      </c>
      <c r="M16" s="657" t="str">
        <f>IF('[6]zona de intervención'!T16=1,"DONE",IF('[6]zona de intervención'!T16=0,"Without measure","In progress"))</f>
        <v>Without measure</v>
      </c>
      <c r="N16" s="657" t="str">
        <f>IF('[6]zona de intervención'!U16=1,"DONE",IF('[6]zona de intervención'!U16=0,"Without measure","In progress"))</f>
        <v>Without measure</v>
      </c>
      <c r="O16" s="657" t="str">
        <f>IF('[6]zona de intervención'!W16&gt;1/1/2014,"DONE","In progress")</f>
        <v>DONE</v>
      </c>
      <c r="P16" s="657" t="str">
        <f>IF('[6]zona de intervención'!AC16=1,"DONE",IF('[6]zona de intervención'!AC16=0,"Without measure","In progress"))</f>
        <v>In progress</v>
      </c>
      <c r="Q16" s="657" t="str">
        <f>IF('[6]zona de intervención'!AD16=1,"DONE",IF('[6]zona de intervención'!AD16=0,"Without measure","In progress"))</f>
        <v>In progress</v>
      </c>
      <c r="R16" s="657" t="str">
        <f>IF('[6]zona de intervención'!AE16=1,"DONE",IF('[6]zona de intervención'!AE16=0,"Without measure","In progress"))</f>
        <v>In progress</v>
      </c>
      <c r="S16" s="657" t="str">
        <f>IF('[6]zona de intervención'!AF16=1,"DONE",IF('[6]zona de intervención'!AF16=0,"Without measure","In progress"))</f>
        <v>In progress</v>
      </c>
      <c r="T16" s="657" t="str">
        <f>IF('[6]zona de intervención'!AG16=1,"DONE",IF('[6]zona de intervención'!AG16=0,"Without measure","In progress"))</f>
        <v>In progress</v>
      </c>
      <c r="U16" s="653"/>
    </row>
    <row r="17" spans="2:21" s="635" customFormat="1" ht="109.25" customHeight="1" x14ac:dyDescent="0.35">
      <c r="B17" s="655">
        <f t="shared" si="0"/>
        <v>10</v>
      </c>
      <c r="C17" s="658" t="str">
        <f>'[6]zona de intervención'!B17</f>
        <v>AZUAY</v>
      </c>
      <c r="D17" s="660" t="str">
        <f>'[6]zona de intervención'!E17</f>
        <v xml:space="preserve">Cabecera Cantonal Girón
</v>
      </c>
      <c r="E17" s="688" t="s">
        <v>1143</v>
      </c>
      <c r="F17" s="658">
        <f>'[6]zona de intervención'!J17</f>
        <v>243</v>
      </c>
      <c r="G17" s="658">
        <f>'[6]zona de intervención'!K17</f>
        <v>243</v>
      </c>
      <c r="H17" s="687">
        <f>'[6]zona de intervención'!L17</f>
        <v>54526.879999999997</v>
      </c>
      <c r="I17" s="686" t="str">
        <f>'[6]zona de intervención'!AS17</f>
        <v xml:space="preserve"> En enero de 2017, talleres de capacitación sobre uso y gestión de agua para riego comunitario. En febrero de 2017, reuniones de coordinación con técnicos de la Unidad de gestión ambiental para talleres. Visita técnica y recorrido al canal de Rircay para verificar las obras. En l mes de marzo de 2017 se han dictado los talleres de Agroforesteria con las comunidades de Leocapac y el Pongo. Taller de Silvopasturas en la comunidad Bellavista. En el mes de abril de 2017. Taller de cierre,  presentación de plan de adaptación de Cambio Climático al MAE, reuniones organizativas con el GADM. En mayo elaboración de especificaciones técnicas para el PFSC. Junio 2017. Gestiónes con el GAD para la presentación del PFSC. Julio.-  Aprobación y firma de resolución al PACC por el consejo cantonal. Agosto, Coordinación para participación Festival de Saberes y Sabores en Saraguro Septiembre.- Organización con GAD para participación de beneficiarios en evento de Saraguro Octubre.- Elaboración de informe trimestral</v>
      </c>
      <c r="J17" s="658" t="str">
        <f>'[6]zona de intervención'!D17</f>
        <v>MAE</v>
      </c>
      <c r="K17" s="656">
        <f>'[6]zona de intervención'!W17</f>
        <v>42113</v>
      </c>
      <c r="L17" s="656">
        <f>'[6]zona de intervención'!Y17</f>
        <v>42712</v>
      </c>
      <c r="M17" s="657" t="str">
        <f>IF('[6]zona de intervención'!T17=1,"DONE",IF('[6]zona de intervención'!T17=0,"Without measure","In progress"))</f>
        <v>DONE</v>
      </c>
      <c r="N17" s="657" t="str">
        <f>IF('[6]zona de intervención'!U17=1,"DONE",IF('[6]zona de intervención'!U17=0,"Without measure","In progress"))</f>
        <v>DONE</v>
      </c>
      <c r="O17" s="657" t="str">
        <f>IF('[6]zona de intervención'!W17&gt;1/1/2014,"DONE","In progress")</f>
        <v>DONE</v>
      </c>
      <c r="P17" s="657" t="str">
        <f>IF('[6]zona de intervención'!AC17=1,"DONE",IF('[6]zona de intervención'!AC17=0,"Without measure","In progress"))</f>
        <v>DONE</v>
      </c>
      <c r="Q17" s="657" t="str">
        <f>IF('[6]zona de intervención'!AD17=1,"DONE",IF('[6]zona de intervención'!AD17=0,"Without measure","In progress"))</f>
        <v>In progress</v>
      </c>
      <c r="R17" s="657" t="str">
        <f>IF('[6]zona de intervención'!AE17=1,"DONE",IF('[6]zona de intervención'!AE17=0,"Without measure","In progress"))</f>
        <v>DONE</v>
      </c>
      <c r="S17" s="657" t="str">
        <f>IF('[6]zona de intervención'!AF17=1,"DONE",IF('[6]zona de intervención'!AF17=0,"Without measure","In progress"))</f>
        <v>DONE</v>
      </c>
      <c r="T17" s="657" t="str">
        <f>IF('[6]zona de intervención'!AG17=1,"DONE",IF('[6]zona de intervención'!AG17=0,"Without measure","In progress"))</f>
        <v>In progress</v>
      </c>
      <c r="U17" s="653"/>
    </row>
    <row r="18" spans="2:21" s="635" customFormat="1" ht="97.25" customHeight="1" x14ac:dyDescent="0.35">
      <c r="B18" s="655">
        <f t="shared" si="0"/>
        <v>11</v>
      </c>
      <c r="C18" s="658" t="str">
        <f>'[6]zona de intervención'!B18</f>
        <v>AZUAY</v>
      </c>
      <c r="D18" s="660" t="str">
        <f>'[6]zona de intervención'!E18</f>
        <v>San Gerardo</v>
      </c>
      <c r="E18" s="688" t="s">
        <v>1141</v>
      </c>
      <c r="F18" s="658">
        <f>'[6]zona de intervención'!J18</f>
        <v>210</v>
      </c>
      <c r="G18" s="658">
        <f>'[6]zona de intervención'!K18</f>
        <v>105</v>
      </c>
      <c r="H18" s="687">
        <f>'[6]zona de intervención'!L18</f>
        <v>43710</v>
      </c>
      <c r="I18" s="686" t="str">
        <f>'[6]zona de intervención'!AS18</f>
        <v>En febrero de 2017, reunión con el GAD para tratar asuntos de fortalecimiento, sostenibilidad e incentivo. En el mes de marzo de 2017, se realiza una inspección para realizar una nueva medida. En el mes de abril de 2017, se realiza coordinación con el GAD para identificar incentivos. En mayo 2017 elaboración y envío de las especificaciones técnicas para el PFSC. El convenio se encuentra en Quito para su suscripción Junio 2017. Socialización del Plan de Adaptación para aprobación y emision de la resolución por parte de la junta. Julio.- Coordinación con autoridades del GAD para participación de la feria en Saraguro  Agosto, Coordinación para participación Festival de Saberes y Sabores en Saraguro Septiembre.- Organización con GAD para participación de beneficiarios en evento de Saraguro Octubre.- Socializaci{on del PFSC.</v>
      </c>
      <c r="J18" s="658" t="str">
        <f>'[6]zona de intervención'!D18</f>
        <v>CCRJ</v>
      </c>
      <c r="K18" s="656">
        <f>'[6]zona de intervención'!W18</f>
        <v>41776</v>
      </c>
      <c r="L18" s="656">
        <f>'[6]zona de intervención'!Y18</f>
        <v>41791</v>
      </c>
      <c r="M18" s="657" t="str">
        <f>IF('[6]zona de intervención'!T18=1,"DONE",IF('[6]zona de intervención'!T18=0,"Without measure","In progress"))</f>
        <v>DONE</v>
      </c>
      <c r="N18" s="657" t="str">
        <f>IF('[6]zona de intervención'!U18=1,"DONE",IF('[6]zona de intervención'!U18=0,"Without measure","In progress"))</f>
        <v>DONE</v>
      </c>
      <c r="O18" s="657" t="str">
        <f>IF('[6]zona de intervención'!W18&gt;1/1/2014,"DONE","In progress")</f>
        <v>DONE</v>
      </c>
      <c r="P18" s="657" t="str">
        <f>IF('[6]zona de intervención'!AC18=1,"DONE",IF('[6]zona de intervención'!AC18=0,"Without measure","In progress"))</f>
        <v>DONE</v>
      </c>
      <c r="Q18" s="657" t="str">
        <f>IF('[6]zona de intervención'!AD18=1,"DONE",IF('[6]zona de intervención'!AD18=0,"Without measure","In progress"))</f>
        <v>DONE</v>
      </c>
      <c r="R18" s="657" t="str">
        <f>IF('[6]zona de intervención'!AE18=1,"DONE",IF('[6]zona de intervención'!AE18=0,"Without measure","In progress"))</f>
        <v>DONE</v>
      </c>
      <c r="S18" s="657" t="str">
        <f>IF('[6]zona de intervención'!AF18=1,"DONE",IF('[6]zona de intervención'!AF18=0,"Without measure","In progress"))</f>
        <v>DONE</v>
      </c>
      <c r="T18" s="657" t="str">
        <f>IF('[6]zona de intervención'!AG18=1,"DONE",IF('[6]zona de intervención'!AG18=0,"Without measure","In progress"))</f>
        <v>DONE</v>
      </c>
      <c r="U18" s="653"/>
    </row>
    <row r="19" spans="2:21" s="635" customFormat="1" ht="123" customHeight="1" x14ac:dyDescent="0.35">
      <c r="B19" s="655">
        <f t="shared" si="0"/>
        <v>12</v>
      </c>
      <c r="C19" s="658" t="str">
        <f>'[6]zona de intervención'!B19</f>
        <v>AZUAY</v>
      </c>
      <c r="D19" s="660" t="str">
        <f>'[6]zona de intervención'!E19</f>
        <v xml:space="preserve">La Asunción </v>
      </c>
      <c r="E19" s="688" t="s">
        <v>1139</v>
      </c>
      <c r="F19" s="658">
        <f>'[6]zona de intervención'!J19</f>
        <v>450</v>
      </c>
      <c r="G19" s="658">
        <f>'[6]zona de intervención'!K19</f>
        <v>450</v>
      </c>
      <c r="H19" s="687">
        <f>'[6]zona de intervención'!L19</f>
        <v>102687.75</v>
      </c>
      <c r="I19" s="686" t="str">
        <f>'[6]zona de intervención'!AS19</f>
        <v>En el mes de enero de 2017. Socialización de Analisis de Vulnerabilidad y Plan de Adaptación. Obtención de resolución parroquial para presentación de plan de adaptación y Validación de informes trimestrales.En el mes de febrero de 2017, socialización de análisis de vulnerabilidad y plan de adaptación concluido y entregado, entrega de adenda de ampliación de convenio al GAD, reuniones técnicas con el GAD para cierre técnico de medida y contratación del promotor.En el mes de marzo de 2017 taller de evaluación de medidade adaptación. En el mes de abril de 2017, gestiones para identificar necesidades de fortalecimiento y sostenibilidad  en la parroquia. Se participo el comite técnico local del Azuay. Mayo 2017 elaboración y envío de especificaciones técnicas para el PFSC y el PFSC.  Junio 2017.: Socialización,  validación y presentación de PFSC. Julio.- Realización de talleres réplica de Camaren Agosto, Coordinación para participación Festival de Saberes y Sabores en Saraguro Septiembre.- Organización con GAD para participación de beneficiarios en evento de Saraguro Octubre.- Socialización del PFSC, elaboraci{on de informe trimestral</v>
      </c>
      <c r="J19" s="658" t="str">
        <f>'[6]zona de intervención'!D19</f>
        <v>MAE</v>
      </c>
      <c r="K19" s="656">
        <f>'[6]zona de intervención'!W19</f>
        <v>42180</v>
      </c>
      <c r="L19" s="656">
        <f>'[6]zona de intervención'!Y19</f>
        <v>42291</v>
      </c>
      <c r="M19" s="657" t="str">
        <f>IF('[6]zona de intervención'!T19=1,"DONE",IF('[6]zona de intervención'!T19=0,"Without measure","In progress"))</f>
        <v>DONE</v>
      </c>
      <c r="N19" s="657" t="str">
        <f>IF('[6]zona de intervención'!U19=1,"DONE",IF('[6]zona de intervención'!U19=0,"Without measure","In progress"))</f>
        <v>DONE</v>
      </c>
      <c r="O19" s="657" t="str">
        <f>IF('[6]zona de intervención'!W19&gt;1/1/2014,"DONE","In progress")</f>
        <v>DONE</v>
      </c>
      <c r="P19" s="657" t="str">
        <f>IF('[6]zona de intervención'!AC19=1,"DONE",IF('[6]zona de intervención'!AC19=0,"Without measure","In progress"))</f>
        <v>DONE</v>
      </c>
      <c r="Q19" s="657" t="str">
        <f>IF('[6]zona de intervención'!AD19=1,"DONE",IF('[6]zona de intervención'!AD19=0,"Without measure","In progress"))</f>
        <v>DONE</v>
      </c>
      <c r="R19" s="657" t="str">
        <f>IF('[6]zona de intervención'!AE19=1,"DONE",IF('[6]zona de intervención'!AE19=0,"Without measure","In progress"))</f>
        <v>DONE</v>
      </c>
      <c r="S19" s="657" t="str">
        <f>IF('[6]zona de intervención'!AF19=1,"DONE",IF('[6]zona de intervención'!AF19=0,"Without measure","In progress"))</f>
        <v>DONE</v>
      </c>
      <c r="T19" s="657" t="str">
        <f>IF('[6]zona de intervención'!AG19=1,"DONE",IF('[6]zona de intervención'!AG19=0,"Without measure","In progress"))</f>
        <v>In progress</v>
      </c>
      <c r="U19" s="653"/>
    </row>
    <row r="20" spans="2:21" s="635" customFormat="1" ht="111.65" customHeight="1" x14ac:dyDescent="0.35">
      <c r="B20" s="655">
        <f t="shared" si="0"/>
        <v>13</v>
      </c>
      <c r="C20" s="658" t="str">
        <f>'[6]zona de intervención'!B20</f>
        <v>AZUAY</v>
      </c>
      <c r="D20" s="660" t="str">
        <f>'[6]zona de intervención'!E20</f>
        <v>Chumblin</v>
      </c>
      <c r="E20" s="688" t="s">
        <v>1137</v>
      </c>
      <c r="F20" s="658">
        <f>'[6]zona de intervención'!J20</f>
        <v>200</v>
      </c>
      <c r="G20" s="658">
        <f>'[6]zona de intervención'!K20</f>
        <v>146</v>
      </c>
      <c r="H20" s="687">
        <f>'[6]zona de intervención'!L20</f>
        <v>43425.85</v>
      </c>
      <c r="I20" s="686" t="str">
        <f>'[6]zona de intervención'!AS20</f>
        <v>En el mes de febrero de 2017, Acercamiento al GAD para plan de fortalecimiento y sostenibilidad de medidas. En el mes de marzo de 2017 reuniones para determinar la medida.  En el mes de abril de 2017, recorridos para visualizar la implementación de incentivos, gestiones a nivel técnico con el GAD. Se a identificado la necesidad de mejorar tres reservorios, instalación de tubería para conducción de agua para riego, se comprarán tuberías y accesorios para tres diferentes canales para el sistema de Pugo - Duda, Conzho. En mayo 2017 elaboración y envío de especificaciones técnicas para el PFSC. El convenio se encuentra en Quito para su suscripción Junio 2017.: Socialización,  validación y presentación de PFSC. Julio.- Aprobación y firma de resolución al PACC por parte del consejo parroquial. Agosto, Coordinación para participación Festival de Saberes y Sabores en Saraguro Septiembre.- Organización con GAD para participación de beneficiarios en evento de Saraguro Octubre.- Socializaci{on del PFSC</v>
      </c>
      <c r="J20" s="658" t="str">
        <f>'[6]zona de intervención'!D20</f>
        <v>CCRJ</v>
      </c>
      <c r="K20" s="656">
        <f>'[6]zona de intervención'!W20</f>
        <v>41776</v>
      </c>
      <c r="L20" s="656">
        <f>'[6]zona de intervención'!Y20</f>
        <v>41771</v>
      </c>
      <c r="M20" s="657" t="str">
        <f>IF('[6]zona de intervención'!T20=1,"DONE",IF('[6]zona de intervención'!T20=0,"Without measure","In progress"))</f>
        <v>DONE</v>
      </c>
      <c r="N20" s="657" t="str">
        <f>IF('[6]zona de intervención'!U20=1,"DONE",IF('[6]zona de intervención'!U20=0,"Without measure","In progress"))</f>
        <v>DONE</v>
      </c>
      <c r="O20" s="657" t="str">
        <f>IF('[6]zona de intervención'!W20&gt;1/1/2014,"DONE","In progress")</f>
        <v>DONE</v>
      </c>
      <c r="P20" s="657" t="str">
        <f>IF('[6]zona de intervención'!AC20=1,"DONE",IF('[6]zona de intervención'!AC20=0,"Without measure","In progress"))</f>
        <v>DONE</v>
      </c>
      <c r="Q20" s="657" t="str">
        <f>IF('[6]zona de intervención'!AD20=1,"DONE",IF('[6]zona de intervención'!AD20=0,"Without measure","In progress"))</f>
        <v>DONE</v>
      </c>
      <c r="R20" s="657" t="str">
        <f>IF('[6]zona de intervención'!AE20=1,"DONE",IF('[6]zona de intervención'!AE20=0,"Without measure","In progress"))</f>
        <v>DONE</v>
      </c>
      <c r="S20" s="657" t="str">
        <f>IF('[6]zona de intervención'!AF20=1,"DONE",IF('[6]zona de intervención'!AF20=0,"Without measure","In progress"))</f>
        <v>DONE</v>
      </c>
      <c r="T20" s="657" t="str">
        <f>IF('[6]zona de intervención'!AG20=1,"DONE",IF('[6]zona de intervención'!AG20=0,"Without measure","In progress"))</f>
        <v>DONE</v>
      </c>
      <c r="U20" s="653"/>
    </row>
    <row r="21" spans="2:21" s="635" customFormat="1" ht="177.65" customHeight="1" x14ac:dyDescent="0.35">
      <c r="B21" s="655">
        <f t="shared" si="0"/>
        <v>14</v>
      </c>
      <c r="C21" s="658" t="str">
        <f>'[6]zona de intervención'!B21</f>
        <v>AZUAY</v>
      </c>
      <c r="D21" s="660" t="str">
        <f>'[6]zona de intervención'!E21</f>
        <v>San Fernando Cabecera Cantonal</v>
      </c>
      <c r="E21" s="688" t="s">
        <v>1135</v>
      </c>
      <c r="F21" s="658">
        <f>'[6]zona de intervención'!J21</f>
        <v>1000</v>
      </c>
      <c r="G21" s="658">
        <f>'[6]zona de intervención'!K21</f>
        <v>1000</v>
      </c>
      <c r="H21" s="687">
        <f>'[6]zona de intervención'!L21</f>
        <v>67996.509999999995</v>
      </c>
      <c r="I21" s="686" t="str">
        <f>'[6]zona de intervención'!AS21</f>
        <v>En enero de 2017, gestiones para instalación de instrumento de cloración Clorhid 90. Elaboración de informes trimestrales. En febrero de 2017, gestiones con el GAD para instalación de energía eléctrica para la planta, entrega de adenda de ampliación de plazo, gestiones con el GAD para continuidad de medida de adaptación (contratación del promotor), culminación del componente 2, elaboración de documentos para socialización de Análisis de vulnerabilidad y Plan de adaptación. En el mes de marzo de 2017, Visita de la Lic. María Victoria Chiriboga, subsecretaria de cambio climático. Gestiones varias para la implementación de planta de agua potable en la comunidad Yaguarcocha.  En el mes de abril de 2017, se participo el comite técnico local del Azuay. Reuniones con el GAD para definir actividades futuras. (adenda, contratación de promotor, plan de trabajo, presenteción del plan de adaptación al cambio climático, cierre técnico de la medida e instalación de energía eléctrica para culminar el componente 2). Mayo 2017 elaboración de especificaciones técnicas para el PFSC , prueba de funcionamiento de planta de potabilización de agua. La documentación para cierre y genereación de Plan de Adaptación se encuentra realizada. Junio 2017: Levantamiento de líneas bases de silvopasturas, gestiones para presentación del PFSC. Julio,- Realió el taller de culminación de la medida de adaptación. Agosto, Coordinación para participación Festival de Saberes y Sabores en Saraguro Septiembre.- Organización con GAD para participación de beneficiarios en evento de Saraguro Octubre.- Levantamientos de líneas base y socializaci{on del PFSC</v>
      </c>
      <c r="J21" s="658" t="str">
        <f>'[6]zona de intervención'!D21</f>
        <v>MAE</v>
      </c>
      <c r="K21" s="656">
        <f>'[6]zona de intervención'!W21</f>
        <v>42244</v>
      </c>
      <c r="L21" s="656">
        <f>'[6]zona de intervención'!Y21</f>
        <v>42296</v>
      </c>
      <c r="M21" s="657" t="str">
        <f>IF('[6]zona de intervención'!T21=1,"DONE",IF('[6]zona de intervención'!T21=0,"Without measure","In progress"))</f>
        <v>DONE</v>
      </c>
      <c r="N21" s="657" t="str">
        <f>IF('[6]zona de intervención'!U21=1,"DONE",IF('[6]zona de intervención'!U21=0,"Without measure","In progress"))</f>
        <v>DONE</v>
      </c>
      <c r="O21" s="657" t="str">
        <f>IF('[6]zona de intervención'!W21&gt;1/1/2014,"DONE","In progress")</f>
        <v>DONE</v>
      </c>
      <c r="P21" s="657" t="str">
        <f>IF('[6]zona de intervención'!AC21=1,"DONE",IF('[6]zona de intervención'!AC21=0,"Without measure","In progress"))</f>
        <v>DONE</v>
      </c>
      <c r="Q21" s="657" t="str">
        <f>IF('[6]zona de intervención'!AD21=1,"DONE",IF('[6]zona de intervención'!AD21=0,"Without measure","In progress"))</f>
        <v>DONE</v>
      </c>
      <c r="R21" s="657" t="str">
        <f>IF('[6]zona de intervención'!AE21=1,"DONE",IF('[6]zona de intervención'!AE21=0,"Without measure","In progress"))</f>
        <v>DONE</v>
      </c>
      <c r="S21" s="657" t="str">
        <f>IF('[6]zona de intervención'!AF21=1,"DONE",IF('[6]zona de intervención'!AF21=0,"Without measure","In progress"))</f>
        <v>DONE</v>
      </c>
      <c r="T21" s="657" t="str">
        <f>IF('[6]zona de intervención'!AG21=1,"DONE",IF('[6]zona de intervención'!AG21=0,"Without measure","In progress"))</f>
        <v>In progress</v>
      </c>
      <c r="U21" s="653"/>
    </row>
    <row r="22" spans="2:21" s="635" customFormat="1" ht="102.65" customHeight="1" x14ac:dyDescent="0.35">
      <c r="B22" s="655">
        <f t="shared" si="0"/>
        <v>15</v>
      </c>
      <c r="C22" s="658" t="str">
        <f>'[6]zona de intervención'!B22</f>
        <v>AZUAY</v>
      </c>
      <c r="D22" s="660" t="str">
        <f>'[6]zona de intervención'!E22</f>
        <v>Cabecera Cantonal Oña</v>
      </c>
      <c r="E22" s="688" t="s">
        <v>1133</v>
      </c>
      <c r="F22" s="658">
        <f>'[6]zona de intervención'!J22</f>
        <v>212</v>
      </c>
      <c r="G22" s="658">
        <f>'[6]zona de intervención'!K22</f>
        <v>212</v>
      </c>
      <c r="H22" s="687">
        <f>'[6]zona de intervención'!L22</f>
        <v>52915.94</v>
      </c>
      <c r="I22" s="686" t="str">
        <f>'[6]zona de intervención'!AS22</f>
        <v xml:space="preserve"> En enero de 2017, validación de informe trimestral, seguimiento y monitoreo en áreas del proyecto y planificación de actividades con promotores. En el mes de marzo de 2017, monitoreo y seguimiento de medida de adaptación. En el mes de abril de 2017, Seguimiento y monitoreo a huertos, levantamiento de lineas base, socialización y validación de incentivos. En mayo se participó de la feria agropecuaria, artesanal y alimentaria por la parroquialización de Oña. Junio 2017, Prefocalización de familias para implementación del PFSC, seguimiento a medidas implementadas, Julio.- Elaboración de informe trimestral, segumiento y monitoreo de acciones impementadas. Agosto, Coordinación para participación Festival de Saberes y Sabores en Saraguro Septiembre.-  Organización con GAD para participación de beneficiarios en evento de Saraguro, taller de culminación de medida, socialización del PFSC, visita de obras por parte de oficial de PMA</v>
      </c>
      <c r="J22" s="658" t="str">
        <f>'[6]zona de intervención'!D22</f>
        <v>MAE</v>
      </c>
      <c r="K22" s="656">
        <f>'[6]zona de intervención'!W22</f>
        <v>42262</v>
      </c>
      <c r="L22" s="656">
        <f>'[6]zona de intervención'!Y22</f>
        <v>42324</v>
      </c>
      <c r="M22" s="657" t="str">
        <f>IF('[6]zona de intervención'!T22=1,"DONE",IF('[6]zona de intervención'!T22=0,"Without measure","In progress"))</f>
        <v>DONE</v>
      </c>
      <c r="N22" s="657" t="str">
        <f>IF('[6]zona de intervención'!U22=1,"DONE",IF('[6]zona de intervención'!U22=0,"Without measure","In progress"))</f>
        <v>DONE</v>
      </c>
      <c r="O22" s="657" t="str">
        <f>IF('[6]zona de intervención'!W22&gt;1/1/2014,"DONE","In progress")</f>
        <v>DONE</v>
      </c>
      <c r="P22" s="657" t="str">
        <f>IF('[6]zona de intervención'!AC22=1,"DONE",IF('[6]zona de intervención'!AC22=0,"Without measure","In progress"))</f>
        <v>DONE</v>
      </c>
      <c r="Q22" s="657" t="str">
        <f>IF('[6]zona de intervención'!AD22=1,"DONE",IF('[6]zona de intervención'!AD22=0,"Without measure","In progress"))</f>
        <v>DONE</v>
      </c>
      <c r="R22" s="657" t="str">
        <f>IF('[6]zona de intervención'!AE22=1,"DONE",IF('[6]zona de intervención'!AE22=0,"Without measure","In progress"))</f>
        <v>DONE</v>
      </c>
      <c r="S22" s="657" t="str">
        <f>IF('[6]zona de intervención'!AF22=1,"DONE",IF('[6]zona de intervención'!AF22=0,"Without measure","In progress"))</f>
        <v>DONE</v>
      </c>
      <c r="T22" s="657" t="str">
        <f>IF('[6]zona de intervención'!AG22=1,"DONE",IF('[6]zona de intervención'!AG22=0,"Without measure","In progress"))</f>
        <v>In progress</v>
      </c>
      <c r="U22" s="653"/>
    </row>
    <row r="23" spans="2:21" s="635" customFormat="1" ht="119" customHeight="1" x14ac:dyDescent="0.35">
      <c r="B23" s="655">
        <f t="shared" si="0"/>
        <v>16</v>
      </c>
      <c r="C23" s="658" t="str">
        <f>'[6]zona de intervención'!B23</f>
        <v>AZUAY</v>
      </c>
      <c r="D23" s="660" t="str">
        <f>'[6]zona de intervención'!E23</f>
        <v>Susudel</v>
      </c>
      <c r="E23" s="688" t="s">
        <v>1131</v>
      </c>
      <c r="F23" s="658">
        <f>'[6]zona de intervención'!J23</f>
        <v>480</v>
      </c>
      <c r="G23" s="658">
        <f>'[6]zona de intervención'!K23</f>
        <v>480</v>
      </c>
      <c r="H23" s="687">
        <f>'[6]zona de intervención'!L23</f>
        <v>44002.13</v>
      </c>
      <c r="I23" s="686" t="str">
        <f>'[6]zona de intervención'!AS23</f>
        <v xml:space="preserve"> En enero de 2017, seguimiento y monitoreo a huertos. Validación de informe trimestral. Participación en evento de parroquialización. En el mes de febrero de 2017, Socialización de Análisis de vulnerabilidad y Plan de Adaptación al cambio climático, envio de resolución  al MAE, instalación de sistemas de riego parcelario. En el mes de marzo de 2017. Instalación de sistemas de riego, taller de cierre de medida, visita de la Lic. María Victoria Chiriboga, subsecretaria de cambio climático. En el mes de abril de 2017,  socialización y validación de incentivos, levantamiento de linea base,  Taller de cierre técnico de medida. En mayo se realiza las especificaciones técnicas del PFSC y la elaboración del plan. Junio 2017, Prefocalización de familias para implementación del PFSC, seguimiento a medidas implementadas. Julio,- Elaboración de informe trimestral, seguimiento y monitoreo de acciones implementadas. Agosto, Coordinación para participación Festival de Saberes y Sabores en Saraguro. Agosto, Coordinación para participación Festival de Saberes y Sabores en Saraguro Septiembre,-  Organización con GAD para participación de beneficiarios en evento de Saraguro.</v>
      </c>
      <c r="J23" s="658" t="str">
        <f>'[6]zona de intervención'!D23</f>
        <v>MAE</v>
      </c>
      <c r="K23" s="656">
        <f>'[6]zona de intervención'!W23</f>
        <v>42249</v>
      </c>
      <c r="L23" s="656">
        <f>'[6]zona de intervención'!Y23</f>
        <v>42285</v>
      </c>
      <c r="M23" s="657" t="str">
        <f>IF('[6]zona de intervención'!T23=1,"DONE",IF('[6]zona de intervención'!T23=0,"Without measure","In progress"))</f>
        <v>DONE</v>
      </c>
      <c r="N23" s="657" t="str">
        <f>IF('[6]zona de intervención'!U23=1,"DONE",IF('[6]zona de intervención'!U23=0,"Without measure","In progress"))</f>
        <v>DONE</v>
      </c>
      <c r="O23" s="657" t="str">
        <f>IF('[6]zona de intervención'!W23&gt;1/1/2014,"DONE","In progress")</f>
        <v>DONE</v>
      </c>
      <c r="P23" s="657" t="str">
        <f>IF('[6]zona de intervención'!AC23=1,"DONE",IF('[6]zona de intervención'!AC23=0,"Without measure","In progress"))</f>
        <v>DONE</v>
      </c>
      <c r="Q23" s="657" t="str">
        <f>IF('[6]zona de intervención'!AD23=1,"DONE",IF('[6]zona de intervención'!AD23=0,"Without measure","In progress"))</f>
        <v>DONE</v>
      </c>
      <c r="R23" s="657" t="str">
        <f>IF('[6]zona de intervención'!AE23=1,"DONE",IF('[6]zona de intervención'!AE23=0,"Without measure","In progress"))</f>
        <v>DONE</v>
      </c>
      <c r="S23" s="657" t="str">
        <f>IF('[6]zona de intervención'!AF23=1,"DONE",IF('[6]zona de intervención'!AF23=0,"Without measure","In progress"))</f>
        <v>DONE</v>
      </c>
      <c r="T23" s="657" t="str">
        <f>IF('[6]zona de intervención'!AG23=1,"DONE",IF('[6]zona de intervención'!AG23=0,"Without measure","In progress"))</f>
        <v>In progress</v>
      </c>
      <c r="U23" s="653"/>
    </row>
    <row r="24" spans="2:21" s="635" customFormat="1" ht="138" customHeight="1" x14ac:dyDescent="0.35">
      <c r="B24" s="655">
        <f t="shared" si="0"/>
        <v>17</v>
      </c>
      <c r="C24" s="658" t="str">
        <f>'[6]zona de intervención'!B24</f>
        <v>AZUAY</v>
      </c>
      <c r="D24" s="660" t="str">
        <f>'[6]zona de intervención'!E24</f>
        <v>San Rafael de Zharug</v>
      </c>
      <c r="E24" s="688" t="s">
        <v>1130</v>
      </c>
      <c r="F24" s="658">
        <f>'[6]zona de intervención'!J24</f>
        <v>230</v>
      </c>
      <c r="G24" s="658">
        <f>'[6]zona de intervención'!K24</f>
        <v>230</v>
      </c>
      <c r="H24" s="689">
        <f>'[6]zona de intervención'!L24</f>
        <v>56375.3</v>
      </c>
      <c r="I24" s="686" t="str">
        <f>'[6]zona de intervención'!AS24</f>
        <v xml:space="preserve"> En el mes de enero de 2017, Reuniones con el GAD para dar seguimiento a los insumos. Informe trimestral de actividades. En febrero de 2017, Reuniones con el GAD para elaboración de encuestas de animales menores (entrega en 15 días), Socialización de analisis de vulnerabilidad y plan de adaptación al cambio climático y envio al Ministerio del Ambiente, elaboración y entrega al GAD de documentos habilitantes para continuidad de la medida de adaptación, monitoreo y seguimiento de la medida. En el mes de marzo de 2017, gestiones para coordinar acciones con el GAD parroquial. En el mes de abril de 2017 se realiza una visita para determinar la continuidad del GAD con el proyecto, traer documentos habilitantes pendientes, firma de informes trimestrales, planificación de taller de cierrer. se realizó el taller de cierre de medida. En mayo elaboración de especificaciones técnicas para el PFSC. Junio. El Municipio de Pucará asumió la ejecución de las medidas en la parroquia San Rafael de Sharug. Septiembre.- Seguimiento y monitoreo en las comunidades de Tullusiri y Huasipamba en la implementación de crianza de animales menores (cuyes), Organización y participación en Festival de Sabores y Saberes en Saraguro. </v>
      </c>
      <c r="J24" s="658" t="str">
        <f>'[6]zona de intervención'!D24</f>
        <v>MAE</v>
      </c>
      <c r="K24" s="656">
        <f>'[6]zona de intervención'!W24</f>
        <v>42299</v>
      </c>
      <c r="L24" s="656">
        <f>'[6]zona de intervención'!Y24</f>
        <v>42377</v>
      </c>
      <c r="M24" s="657" t="str">
        <f>IF('[6]zona de intervención'!T24=1,"DONE",IF('[6]zona de intervención'!T24=0,"Without measure","In progress"))</f>
        <v>DONE</v>
      </c>
      <c r="N24" s="657" t="str">
        <f>IF('[6]zona de intervención'!U24=1,"DONE",IF('[6]zona de intervención'!U24=0,"Without measure","In progress"))</f>
        <v>DONE</v>
      </c>
      <c r="O24" s="657" t="str">
        <f>IF('[6]zona de intervención'!W24&gt;1/1/2014,"DONE","In progress")</f>
        <v>DONE</v>
      </c>
      <c r="P24" s="657" t="str">
        <f>IF('[6]zona de intervención'!AC24=1,"DONE",IF('[6]zona de intervención'!AC24=0,"Without measure","In progress"))</f>
        <v>DONE</v>
      </c>
      <c r="Q24" s="657" t="str">
        <f>IF('[6]zona de intervención'!AD24=1,"DONE",IF('[6]zona de intervención'!AD24=0,"Without measure","In progress"))</f>
        <v>DONE</v>
      </c>
      <c r="R24" s="657" t="str">
        <f>IF('[6]zona de intervención'!AE24=1,"DONE",IF('[6]zona de intervención'!AE24=0,"Without measure","In progress"))</f>
        <v>DONE</v>
      </c>
      <c r="S24" s="657" t="str">
        <f>IF('[6]zona de intervención'!AF24=1,"DONE",IF('[6]zona de intervención'!AF24=0,"Without measure","In progress"))</f>
        <v>DONE</v>
      </c>
      <c r="T24" s="657" t="str">
        <f>IF('[6]zona de intervención'!AG24=1,"DONE",IF('[6]zona de intervención'!AG24=0,"Without measure","In progress"))</f>
        <v>In progress</v>
      </c>
      <c r="U24" s="653"/>
    </row>
    <row r="25" spans="2:21" s="635" customFormat="1" ht="122.4" customHeight="1" x14ac:dyDescent="0.35">
      <c r="B25" s="655">
        <f t="shared" si="0"/>
        <v>18</v>
      </c>
      <c r="C25" s="658" t="str">
        <f>'[6]zona de intervención'!B25</f>
        <v>AZUAY</v>
      </c>
      <c r="D25" s="660" t="str">
        <f>'[6]zona de intervención'!E25</f>
        <v>Cabecera Cantonal Pucará</v>
      </c>
      <c r="E25" s="688" t="s">
        <v>1128</v>
      </c>
      <c r="F25" s="658">
        <f>'[6]zona de intervención'!J25</f>
        <v>300</v>
      </c>
      <c r="G25" s="658">
        <f>'[6]zona de intervención'!K25</f>
        <v>60</v>
      </c>
      <c r="H25" s="687">
        <f>'[6]zona de intervención'!L25</f>
        <v>30795.54</v>
      </c>
      <c r="I25" s="686" t="str">
        <f>'[6]zona de intervención'!AS25</f>
        <v>En el mes de abril de 2017, socialización de la medida,  entrega de materiales e inusmos, socialización  y validación de incentivos. En mayo se realiza las especificacioes técnicas del PFSC. Junio: Socialización y validación de PFSC, ajuste de especificaciones técnicas, recuperación de datos de la parroquia Sharuf para el PFSC. Julio: Participación cantonización de Pucará, elaboración de matriz trimestral, replanteo de la línea de consucción de canal de riego Manzanilla y San Miguel de las Palmeras, taller de socialización de proyecto FORECCSA y sus ejes transversales. Agosto, Coordinación para participación Festival de Saberes y Sabores en Saraguro. Septiembre.- Organización y  Participación Festival de Sabores y Saberes en Saraguro, inicio de trabajos en la costrucción del sistema de riego Manzanillas, culminación de mejoramiento de línea de conducción de agua de riego en San Miguel de las Palmeras con la construcción de 60 metros de celosía (paso de agua). Octubre.- Socialización del PFSC, seguimiento y monitoreo a la construcción del sistema de riego Manzanillas</v>
      </c>
      <c r="J25" s="658" t="str">
        <f>'[6]zona de intervención'!D25</f>
        <v>MAE</v>
      </c>
      <c r="K25" s="656">
        <f>'[6]zona de intervención'!W25</f>
        <v>42675</v>
      </c>
      <c r="L25" s="656">
        <f>'[6]zona de intervención'!Y25</f>
        <v>42828</v>
      </c>
      <c r="M25" s="657" t="str">
        <f>IF('[6]zona de intervención'!T25=1,"DONE",IF('[6]zona de intervención'!T25=0,"Without measure","In progress"))</f>
        <v>DONE</v>
      </c>
      <c r="N25" s="657" t="str">
        <f>IF('[6]zona de intervención'!U25=1,"DONE",IF('[6]zona de intervención'!U25=0,"Without measure","In progress"))</f>
        <v>DONE</v>
      </c>
      <c r="O25" s="657" t="str">
        <f>IF('[6]zona de intervención'!W25&gt;1/1/2014,"DONE","In progress")</f>
        <v>DONE</v>
      </c>
      <c r="P25" s="657" t="str">
        <f>IF('[6]zona de intervención'!AC25=1,"DONE",IF('[6]zona de intervención'!AC25=0,"Without measure","In progress"))</f>
        <v>DONE</v>
      </c>
      <c r="Q25" s="657" t="str">
        <f>IF('[6]zona de intervención'!AD25=1,"DONE",IF('[6]zona de intervención'!AD25=0,"Without measure","In progress"))</f>
        <v>DONE</v>
      </c>
      <c r="R25" s="657" t="str">
        <f>IF('[6]zona de intervención'!AE25=1,"DONE",IF('[6]zona de intervención'!AE25=0,"Without measure","In progress"))</f>
        <v>DONE</v>
      </c>
      <c r="S25" s="657" t="str">
        <f>IF('[6]zona de intervención'!AF25=1,"DONE",IF('[6]zona de intervención'!AF25=0,"Without measure","In progress"))</f>
        <v>DONE</v>
      </c>
      <c r="T25" s="657" t="str">
        <f>IF('[6]zona de intervención'!AG25=1,"DONE",IF('[6]zona de intervención'!AG25=0,"Without measure","In progress"))</f>
        <v>In progress</v>
      </c>
      <c r="U25" s="653"/>
    </row>
    <row r="26" spans="2:21" s="635" customFormat="1" ht="122.4" customHeight="1" x14ac:dyDescent="0.35">
      <c r="B26" s="655">
        <f t="shared" si="0"/>
        <v>19</v>
      </c>
      <c r="C26" s="658" t="str">
        <f>'[6]zona de intervención'!B26</f>
        <v>AZUAY</v>
      </c>
      <c r="D26" s="660" t="str">
        <f>'[6]zona de intervención'!E26</f>
        <v>Victoria del Portete</v>
      </c>
      <c r="E26" s="660" t="s">
        <v>1183</v>
      </c>
      <c r="F26" s="658">
        <f>'[6]zona de intervención'!J26</f>
        <v>37</v>
      </c>
      <c r="G26" s="658">
        <f>'[6]zona de intervención'!K26</f>
        <v>37</v>
      </c>
      <c r="H26" s="687">
        <f>'[6]zona de intervención'!L26</f>
        <v>8000</v>
      </c>
      <c r="I26" s="686" t="e">
        <f>'[6]zona de intervención'!AS26</f>
        <v>#REF!</v>
      </c>
      <c r="J26" s="658" t="str">
        <f>'[6]zona de intervención'!D26</f>
        <v>MAE</v>
      </c>
      <c r="K26" s="656">
        <f>'[6]zona de intervención'!W26</f>
        <v>42754</v>
      </c>
      <c r="L26" s="656">
        <f>'[6]zona de intervención'!Y26</f>
        <v>42906</v>
      </c>
      <c r="M26" s="657" t="str">
        <f>IF('[6]zona de intervención'!T26=1,"DONE",IF('[6]zona de intervención'!T26=0,"Without measure","In progress"))</f>
        <v>Without measure</v>
      </c>
      <c r="N26" s="657" t="str">
        <f>IF('[6]zona de intervención'!U26=1,"DONE",IF('[6]zona de intervención'!U26=0,"Without measure","In progress"))</f>
        <v>In progress</v>
      </c>
      <c r="O26" s="657" t="str">
        <f>IF('[6]zona de intervención'!W26&gt;1/1/2014,"DONE","In progress")</f>
        <v>DONE</v>
      </c>
      <c r="P26" s="657" t="str">
        <f>IF('[6]zona de intervención'!AC26=1,"DONE",IF('[6]zona de intervención'!AC26=0,"Without measure","In progress"))</f>
        <v>DONE</v>
      </c>
      <c r="Q26" s="657" t="str">
        <f>IF('[6]zona de intervención'!AD26=1,"DONE",IF('[6]zona de intervención'!AD26=0,"Without measure","In progress"))</f>
        <v>In progress</v>
      </c>
      <c r="R26" s="657" t="str">
        <f>IF('[6]zona de intervención'!AE26=1,"DONE",IF('[6]zona de intervención'!AE26=0,"Without measure","In progress"))</f>
        <v>DONE</v>
      </c>
      <c r="S26" s="657" t="str">
        <f>IF('[6]zona de intervención'!AF26=1,"DONE",IF('[6]zona de intervención'!AF26=0,"Without measure","In progress"))</f>
        <v>DONE</v>
      </c>
      <c r="T26" s="657" t="str">
        <f>IF('[6]zona de intervención'!AG26=1,"DONE",IF('[6]zona de intervención'!AG26=0,"Without measure","In progress"))</f>
        <v>In progress</v>
      </c>
      <c r="U26" s="653"/>
    </row>
    <row r="27" spans="2:21" s="635" customFormat="1" ht="123.65" customHeight="1" x14ac:dyDescent="0.35">
      <c r="B27" s="655">
        <f t="shared" si="0"/>
        <v>20</v>
      </c>
      <c r="C27" s="658" t="str">
        <f>'[6]zona de intervención'!B27</f>
        <v>EL ORO</v>
      </c>
      <c r="D27" s="660" t="str">
        <f>'[6]zona de intervención'!E27</f>
        <v>Abañin</v>
      </c>
      <c r="E27" s="688" t="s">
        <v>1126</v>
      </c>
      <c r="F27" s="658">
        <f>'[6]zona de intervención'!J27</f>
        <v>230</v>
      </c>
      <c r="G27" s="658">
        <f>'[6]zona de intervención'!K27</f>
        <v>231</v>
      </c>
      <c r="H27" s="687">
        <f>'[6]zona de intervención'!L27</f>
        <v>57164.51</v>
      </c>
      <c r="I27" s="686" t="str">
        <f>'[6]zona de intervención'!AS27</f>
        <v>En enero de 2017, monitoreo y seguimiento de la medida. En el mes de febrero 2017,  Socialización de Análisis de Vulnerabilidad y Plan de Adaptación al Cambio climático. Taller técnico de cierre de medida. Entrega de adenda. En el mes de abril de 2017 se elaboran las especificaciones técnicas para el incentivo, validación de materiales para el fortalecimiento y sostenibilidad de la medida. En mayo se elabora el Plan de Fortalecimiento Sostenibilidad y Cierre. Junio. Elaboración de carta de presentación de PFSC y seguimiento y monitoreo de medidas.Julio. Elaboración de informe trimestral, levantamiento de líneas bases de agua de consumo humano Agosto, Coordinación para participación Festival de Saberes y Sabores en Saraguro. Septiembre- Visita técnica de SENAGUA para determinar cumpimiento en cuanto a jurisdicción, objeto de la obra y situación legal de la junta administradora de agua en Ganacay. Octubre.- Elaboración del informe trimestral, participación de sesión solemne por aniverarsio de parroquialización.</v>
      </c>
      <c r="J27" s="658" t="str">
        <f>'[6]zona de intervención'!D27</f>
        <v>MAE</v>
      </c>
      <c r="K27" s="656">
        <f>'[6]zona de intervención'!W27</f>
        <v>42180</v>
      </c>
      <c r="L27" s="656">
        <f>'[6]zona de intervención'!Y27</f>
        <v>42284</v>
      </c>
      <c r="M27" s="657" t="str">
        <f>IF('[6]zona de intervención'!T27=1,"DONE",IF('[6]zona de intervención'!T27=0,"Without measure","In progress"))</f>
        <v>DONE</v>
      </c>
      <c r="N27" s="657" t="str">
        <f>IF('[6]zona de intervención'!U27=1,"DONE",IF('[6]zona de intervención'!U27=0,"Without measure","In progress"))</f>
        <v>DONE</v>
      </c>
      <c r="O27" s="657" t="str">
        <f>IF('[6]zona de intervención'!W27&gt;1/1/2014,"DONE","In progress")</f>
        <v>DONE</v>
      </c>
      <c r="P27" s="657" t="str">
        <f>IF('[6]zona de intervención'!AC27=1,"DONE",IF('[6]zona de intervención'!AC27=0,"Without measure","In progress"))</f>
        <v>DONE</v>
      </c>
      <c r="Q27" s="657" t="str">
        <f>IF('[6]zona de intervención'!AD27=1,"DONE",IF('[6]zona de intervención'!AD27=0,"Without measure","In progress"))</f>
        <v>DONE</v>
      </c>
      <c r="R27" s="657" t="str">
        <f>IF('[6]zona de intervención'!AE27=1,"DONE",IF('[6]zona de intervención'!AE27=0,"Without measure","In progress"))</f>
        <v>DONE</v>
      </c>
      <c r="S27" s="657" t="str">
        <f>IF('[6]zona de intervención'!AF27=1,"DONE",IF('[6]zona de intervención'!AF27=0,"Without measure","In progress"))</f>
        <v>DONE</v>
      </c>
      <c r="T27" s="657" t="str">
        <f>IF('[6]zona de intervención'!AG27=1,"DONE",IF('[6]zona de intervención'!AG27=0,"Without measure","In progress"))</f>
        <v>In progress</v>
      </c>
      <c r="U27" s="653"/>
    </row>
    <row r="28" spans="2:21" s="635" customFormat="1" ht="93.65" customHeight="1" x14ac:dyDescent="0.35">
      <c r="B28" s="655">
        <f t="shared" si="0"/>
        <v>21</v>
      </c>
      <c r="C28" s="658" t="str">
        <f>'[6]zona de intervención'!B28</f>
        <v>EL ORO</v>
      </c>
      <c r="D28" s="660" t="str">
        <f>'[6]zona de intervención'!E28</f>
        <v>Guanazán</v>
      </c>
      <c r="E28" s="688" t="s">
        <v>1124</v>
      </c>
      <c r="F28" s="658">
        <f>'[6]zona de intervención'!J28</f>
        <v>330</v>
      </c>
      <c r="G28" s="658">
        <f>'[6]zona de intervención'!K28</f>
        <v>295</v>
      </c>
      <c r="H28" s="687">
        <f>'[6]zona de intervención'!L28</f>
        <v>68234.83</v>
      </c>
      <c r="I28" s="686" t="str">
        <f>'[6]zona de intervención'!AS28</f>
        <v>En el mes de abril de 2017, se han elaborado las especificaciones técnicas para el plan de fortalecimiento y sostenibilidad.  Mayo 2017 Se elabora el plan de fortalecimiento sostenibilidad y cierre, el convenio se encuentra en Quito para su suscripción. Junio Presentación para aprobación de PFSC al Director Nacional de CC. Julio.-  Elaboraición de resolución de aprobación de Plan de Adaptación parroquial y solicitud de aval al mismo Agosto, Coordinación para participación Festival de Saberes y Sabores en Saraguro, Septiembre-  Coordinación para participación Festival de Saberes y Sabores en Saraguro,</v>
      </c>
      <c r="J28" s="658" t="str">
        <f>'[6]zona de intervención'!D28</f>
        <v>CCRJ</v>
      </c>
      <c r="K28" s="656">
        <f>'[6]zona de intervención'!W28</f>
        <v>41926</v>
      </c>
      <c r="L28" s="656">
        <f>'[6]zona de intervención'!Y28</f>
        <v>41919</v>
      </c>
      <c r="M28" s="657" t="str">
        <f>IF('[6]zona de intervención'!T28=1,"DONE",IF('[6]zona de intervención'!T28=0,"Without measure","In progress"))</f>
        <v>DONE</v>
      </c>
      <c r="N28" s="657" t="str">
        <f>IF('[6]zona de intervención'!U28=1,"DONE",IF('[6]zona de intervención'!U28=0,"Without measure","In progress"))</f>
        <v>DONE</v>
      </c>
      <c r="O28" s="657" t="str">
        <f>IF('[6]zona de intervención'!W28&gt;1/1/2014,"DONE","In progress")</f>
        <v>DONE</v>
      </c>
      <c r="P28" s="657" t="str">
        <f>IF('[6]zona de intervención'!AC28=1,"DONE",IF('[6]zona de intervención'!AC28=0,"Without measure","In progress"))</f>
        <v>DONE</v>
      </c>
      <c r="Q28" s="657" t="str">
        <f>IF('[6]zona de intervención'!AD28=1,"DONE",IF('[6]zona de intervención'!AD28=0,"Without measure","In progress"))</f>
        <v>DONE</v>
      </c>
      <c r="R28" s="657" t="str">
        <f>IF('[6]zona de intervención'!AE28=1,"DONE",IF('[6]zona de intervención'!AE28=0,"Without measure","In progress"))</f>
        <v>DONE</v>
      </c>
      <c r="S28" s="657" t="str">
        <f>IF('[6]zona de intervención'!AF28=1,"DONE",IF('[6]zona de intervención'!AF28=0,"Without measure","In progress"))</f>
        <v>DONE</v>
      </c>
      <c r="T28" s="657" t="str">
        <f>IF('[6]zona de intervención'!AG28=1,"DONE",IF('[6]zona de intervención'!AG28=0,"Without measure","In progress"))</f>
        <v>DONE</v>
      </c>
      <c r="U28" s="653"/>
    </row>
    <row r="29" spans="2:21" s="635" customFormat="1" ht="69" customHeight="1" x14ac:dyDescent="0.35">
      <c r="B29" s="655">
        <f t="shared" si="0"/>
        <v>22</v>
      </c>
      <c r="C29" s="658" t="str">
        <f>'[6]zona de intervención'!B29</f>
        <v>EL ORO</v>
      </c>
      <c r="D29" s="660" t="str">
        <f>'[6]zona de intervención'!E29</f>
        <v>Cabecera Cantonal Zaruma</v>
      </c>
      <c r="E29" s="660" t="s">
        <v>1182</v>
      </c>
      <c r="F29" s="658" t="s">
        <v>1628</v>
      </c>
      <c r="G29" s="658" t="s">
        <v>1628</v>
      </c>
      <c r="H29" s="687">
        <f>'[6]zona de intervención'!L29</f>
        <v>0</v>
      </c>
      <c r="I29" s="686" t="str">
        <f>'[6]zona de intervención'!AS29</f>
        <v>En enero de 2017, acercamiento al GAD parroquial para el diseño de la medida. En el mes de febrero de 2017, gestiones con e GAD de Zaruma para analizar la factibilidad de implementación de medida en la cabecera cantonal. Informe técnico del GAD de Zaruma, con oficio solicitando se fortalezca medidas en las parroquias rurales de Abañin, Guanazán y Sinsao.</v>
      </c>
      <c r="J29" s="658" t="str">
        <f>'[6]zona de intervención'!D29</f>
        <v>MAE</v>
      </c>
      <c r="K29" s="945"/>
      <c r="L29" s="656">
        <f>'[6]zona de intervención'!Y29</f>
        <v>0</v>
      </c>
      <c r="M29" s="657" t="str">
        <f>IF('[6]zona de intervención'!T29=1,"DONE",IF('[6]zona de intervención'!T29=0,"Without measure","In progress"))</f>
        <v>Without measure</v>
      </c>
      <c r="N29" s="657" t="str">
        <f>IF('[6]zona de intervención'!U29=1,"DONE",IF('[6]zona de intervención'!U29=0,"Without measure","In progress"))</f>
        <v>Without measure</v>
      </c>
      <c r="O29" s="944"/>
      <c r="P29" s="657" t="str">
        <f>IF('[6]zona de intervención'!AC29=1,"DONE",IF('[6]zona de intervención'!AC29=0,"Without measure","In progress"))</f>
        <v>Without measure</v>
      </c>
      <c r="Q29" s="657" t="str">
        <f>IF('[6]zona de intervención'!AD29=1,"DONE",IF('[6]zona de intervención'!AD29=0,"Without measure","In progress"))</f>
        <v>Without measure</v>
      </c>
      <c r="R29" s="657" t="str">
        <f>IF('[6]zona de intervención'!AE29=1,"DONE",IF('[6]zona de intervención'!AE29=0,"Without measure","In progress"))</f>
        <v>Without measure</v>
      </c>
      <c r="S29" s="657" t="str">
        <f>IF('[6]zona de intervención'!AF29=1,"DONE",IF('[6]zona de intervención'!AF29=0,"Without measure","In progress"))</f>
        <v>Without measure</v>
      </c>
      <c r="T29" s="657" t="str">
        <f>IF('[6]zona de intervención'!AG29=1,"DONE",IF('[6]zona de intervención'!AG29=0,"Without measure","In progress"))</f>
        <v>Without measure</v>
      </c>
      <c r="U29" s="653"/>
    </row>
    <row r="30" spans="2:21" s="635" customFormat="1" ht="74.25" customHeight="1" x14ac:dyDescent="0.35">
      <c r="B30" s="655">
        <f t="shared" si="0"/>
        <v>23</v>
      </c>
      <c r="C30" s="658" t="str">
        <f>'[6]zona de intervención'!B30</f>
        <v>EL ORO</v>
      </c>
      <c r="D30" s="660" t="str">
        <f>'[6]zona de intervención'!E30</f>
        <v>Sinsao</v>
      </c>
      <c r="E30" s="660" t="s">
        <v>1181</v>
      </c>
      <c r="F30" s="658" t="s">
        <v>1628</v>
      </c>
      <c r="G30" s="658" t="s">
        <v>1628</v>
      </c>
      <c r="H30" s="687">
        <f>'[6]zona de intervención'!L30</f>
        <v>0</v>
      </c>
      <c r="I30" s="686" t="str">
        <f>'[6]zona de intervención'!AS30</f>
        <v>En enero de 2017, acercamiento al GAD parroquial para el diseño de la medida. En el mes de febrero de 2017, gestión de información para analizar la factibilidad de implementar la medida en la zona. En la parroquia no se ejecutará una medida de adaptación, existe un comunicado N°001-2017, en donde el GAD parroquial menifiesta su interés en no participar de las acciones del proyecto FORECCSA.</v>
      </c>
      <c r="J30" s="658" t="str">
        <f>'[6]zona de intervención'!D30</f>
        <v>MAE</v>
      </c>
      <c r="K30" s="945"/>
      <c r="L30" s="656">
        <f>'[6]zona de intervención'!Y30</f>
        <v>0</v>
      </c>
      <c r="M30" s="657" t="str">
        <f>IF('[6]zona de intervención'!T30=1,"DONE",IF('[6]zona de intervención'!T30=0,"Without measure","In progress"))</f>
        <v>Without measure</v>
      </c>
      <c r="N30" s="657" t="str">
        <f>IF('[6]zona de intervención'!U30=1,"DONE",IF('[6]zona de intervención'!U30=0,"Without measure","In progress"))</f>
        <v>Without measure</v>
      </c>
      <c r="O30" s="944"/>
      <c r="P30" s="657" t="str">
        <f>IF('[6]zona de intervención'!AC30=1,"DONE",IF('[6]zona de intervención'!AC30=0,"Without measure","In progress"))</f>
        <v>Without measure</v>
      </c>
      <c r="Q30" s="657" t="str">
        <f>IF('[6]zona de intervención'!AD30=1,"DONE",IF('[6]zona de intervención'!AD30=0,"Without measure","In progress"))</f>
        <v>Without measure</v>
      </c>
      <c r="R30" s="657" t="str">
        <f>IF('[6]zona de intervención'!AE30=1,"DONE",IF('[6]zona de intervención'!AE30=0,"Without measure","In progress"))</f>
        <v>Without measure</v>
      </c>
      <c r="S30" s="657" t="str">
        <f>IF('[6]zona de intervención'!AF30=1,"DONE",IF('[6]zona de intervención'!AF30=0,"Without measure","In progress"))</f>
        <v>Without measure</v>
      </c>
      <c r="T30" s="657" t="str">
        <f>IF('[6]zona de intervención'!AG30=1,"DONE",IF('[6]zona de intervención'!AG30=0,"Without measure","In progress"))</f>
        <v>Without measure</v>
      </c>
      <c r="U30" s="653"/>
    </row>
    <row r="31" spans="2:21" s="635" customFormat="1" ht="123.65" customHeight="1" x14ac:dyDescent="0.35">
      <c r="B31" s="655">
        <f t="shared" si="0"/>
        <v>24</v>
      </c>
      <c r="C31" s="658" t="str">
        <f>'[6]zona de intervención'!B31</f>
        <v>EL ORO</v>
      </c>
      <c r="D31" s="660" t="str">
        <f>'[6]zona de intervención'!E31</f>
        <v>Cabecera Cantonal Chilla</v>
      </c>
      <c r="E31" s="688" t="s">
        <v>1122</v>
      </c>
      <c r="F31" s="658">
        <f>'[6]zona de intervención'!J31</f>
        <v>355</v>
      </c>
      <c r="G31" s="658">
        <f>'[6]zona de intervención'!K31</f>
        <v>355</v>
      </c>
      <c r="H31" s="687">
        <f>'[6]zona de intervención'!L31</f>
        <v>75649.289999999994</v>
      </c>
      <c r="I31" s="686" t="str">
        <f>'[6]zona de intervención'!AS31</f>
        <v>En el mes de enero de 2017,revisión y entrega de documentos de línea base.  En el mes de febrero de 2017, no hubo seguimiento en el GADM de Chilla. Se desarrolló eventos de capactación en manejo de frutales durante el mes de marzo; además se dispone del informe trimestral Enero-Marzo 2017. En el mes de abril de 2017 se obtuvo la resolución y se presentó el plan de adaptación al Cambio Climático al Ministero del Ambiente. En mayo se realiza las especificaciones técnicas y el PFSC.  Junio 2017: Serguimiento y monitoreo de medidas, informe trimestral, validación y presentación del PFSC, entrega de insumos a beneficiarios. Julio.- Participación evento de cantonozación, elaboración de informe trimestral, levantamiento de historia de vida. Agosto, Coordinación para participación Festival de Saberes y Sabores en Saraguro, Septiembre,- Taller de capacitación en abonos orgánicos, seguimiento y monitoreo de parcelas agroforestales. Participación en Festival de Saberes y Sabores en Saraguro. Octubre.- Socialización del PFSC cantonal, taller de culminación de la medida,</v>
      </c>
      <c r="J31" s="658" t="str">
        <f>'[6]zona de intervención'!D31</f>
        <v>MAE</v>
      </c>
      <c r="K31" s="656">
        <f>'[6]zona de intervención'!W31</f>
        <v>42275</v>
      </c>
      <c r="L31" s="656">
        <f>'[6]zona de intervención'!Y31</f>
        <v>42356</v>
      </c>
      <c r="M31" s="657" t="str">
        <f>IF('[6]zona de intervención'!T31=1,"DONE",IF('[6]zona de intervención'!T31=0,"Without measure","In progress"))</f>
        <v>DONE</v>
      </c>
      <c r="N31" s="657" t="str">
        <f>IF('[6]zona de intervención'!U31=1,"DONE",IF('[6]zona de intervención'!U31=0,"Without measure","In progress"))</f>
        <v>DONE</v>
      </c>
      <c r="O31" s="657" t="str">
        <f>IF('[6]zona de intervención'!W31&gt;1/1/2014,"DONE","In progress")</f>
        <v>DONE</v>
      </c>
      <c r="P31" s="657" t="str">
        <f>IF('[6]zona de intervención'!AC31=1,"DONE",IF('[6]zona de intervención'!AC31=0,"Without measure","In progress"))</f>
        <v>DONE</v>
      </c>
      <c r="Q31" s="657" t="str">
        <f>IF('[6]zona de intervención'!AD31=1,"DONE",IF('[6]zona de intervención'!AD31=0,"Without measure","In progress"))</f>
        <v>DONE</v>
      </c>
      <c r="R31" s="657" t="str">
        <f>IF('[6]zona de intervención'!AE31=1,"DONE",IF('[6]zona de intervención'!AE31=0,"Without measure","In progress"))</f>
        <v>DONE</v>
      </c>
      <c r="S31" s="657" t="str">
        <f>IF('[6]zona de intervención'!AF31=1,"DONE",IF('[6]zona de intervención'!AF31=0,"Without measure","In progress"))</f>
        <v>DONE</v>
      </c>
      <c r="T31" s="657" t="str">
        <f>IF('[6]zona de intervención'!AG31=1,"DONE",IF('[6]zona de intervención'!AG31=0,"Without measure","In progress"))</f>
        <v>In progress</v>
      </c>
      <c r="U31" s="653"/>
    </row>
    <row r="32" spans="2:21" s="635" customFormat="1" ht="129" customHeight="1" x14ac:dyDescent="0.35">
      <c r="B32" s="655">
        <f t="shared" si="0"/>
        <v>25</v>
      </c>
      <c r="C32" s="658" t="str">
        <f>'[6]zona de intervención'!B32</f>
        <v>EL ORO</v>
      </c>
      <c r="D32" s="660" t="str">
        <f>'[6]zona de intervención'!E32</f>
        <v>Cabecera Cantonal Pasaje</v>
      </c>
      <c r="E32" s="688" t="s">
        <v>1120</v>
      </c>
      <c r="F32" s="658">
        <f>'[6]zona de intervención'!J32</f>
        <v>285</v>
      </c>
      <c r="G32" s="658">
        <f>'[6]zona de intervención'!K32</f>
        <v>168</v>
      </c>
      <c r="H32" s="687">
        <f>'[6]zona de intervención'!L32</f>
        <v>40692.69</v>
      </c>
      <c r="I32" s="686" t="str">
        <f>'[6]zona de intervención'!AS32</f>
        <v xml:space="preserve"> En el mes de enero de 2017, Taller de género con equipo técnico de aguapas; en el mes de febrero se ha avanzado con la socialización del plan de adaptación, además la alcaldía ha generado un oficio solicitando el aval al plan de adaptación ante el ministerio. Durante el mes de marzo se ha realizado la firma del convenio por parte de la DNCC y Alcaldía. En el mes de abril de 2017, entrega de insumos, se esta elaborando el plan de fortalecimiento, sostenibilidad y cierre, también se han realizado las especificaciones técnicas Mayo 2017 Elaboración del Plan de Fortalecimiento Sostenibilidad y Cierre. Junio 2017. Levantamiento de líneas bases de agua de consumo humano y seguridad alimentaria, capacitaciones de CC, SAN y Género  julio. Conclusión de obra física de conducción de agua potable para el sector del Cangrejo Agosto, Coordinación para participación Festival de Saberes y Sabores en Saraguro. Septiembre Se concluyó el sistema de distribución de agua para el sector del Cangrejo y San Antonio de Chaguana, coordinación para participación en Festival de Sabores y Saberes.</v>
      </c>
      <c r="J32" s="658" t="str">
        <f>'[6]zona de intervención'!D32</f>
        <v>MAE</v>
      </c>
      <c r="K32" s="656">
        <f>'[6]zona de intervención'!W32</f>
        <v>42698</v>
      </c>
      <c r="L32" s="656">
        <f>'[6]zona de intervención'!Y32</f>
        <v>42719</v>
      </c>
      <c r="M32" s="657" t="str">
        <f>IF('[6]zona de intervención'!T32=1,"DONE",IF('[6]zona de intervención'!T32=0,"Without measure","In progress"))</f>
        <v>DONE</v>
      </c>
      <c r="N32" s="657" t="str">
        <f>IF('[6]zona de intervención'!U32=1,"DONE",IF('[6]zona de intervención'!U32=0,"Without measure","In progress"))</f>
        <v>DONE</v>
      </c>
      <c r="O32" s="657" t="str">
        <f>IF('[6]zona de intervención'!W32&gt;1/1/2014,"DONE","In progress")</f>
        <v>DONE</v>
      </c>
      <c r="P32" s="657" t="str">
        <f>IF('[6]zona de intervención'!AC32=1,"DONE",IF('[6]zona de intervención'!AC32=0,"Without measure","In progress"))</f>
        <v>DONE</v>
      </c>
      <c r="Q32" s="657" t="str">
        <f>IF('[6]zona de intervención'!AD32=1,"DONE",IF('[6]zona de intervención'!AD32=0,"Without measure","In progress"))</f>
        <v>DONE</v>
      </c>
      <c r="R32" s="657" t="str">
        <f>IF('[6]zona de intervención'!AE32=1,"DONE",IF('[6]zona de intervención'!AE32=0,"Without measure","In progress"))</f>
        <v>DONE</v>
      </c>
      <c r="S32" s="657" t="str">
        <f>IF('[6]zona de intervención'!AF32=1,"DONE",IF('[6]zona de intervención'!AF32=0,"Without measure","In progress"))</f>
        <v>DONE</v>
      </c>
      <c r="T32" s="657" t="str">
        <f>IF('[6]zona de intervención'!AG32=1,"DONE",IF('[6]zona de intervención'!AG32=0,"Without measure","In progress"))</f>
        <v>In progress</v>
      </c>
      <c r="U32" s="653"/>
    </row>
    <row r="33" spans="2:21" s="635" customFormat="1" ht="169.25" customHeight="1" x14ac:dyDescent="0.35">
      <c r="B33" s="655">
        <f t="shared" si="0"/>
        <v>26</v>
      </c>
      <c r="C33" s="658" t="str">
        <f>'[6]zona de intervención'!B33</f>
        <v>EL ORO</v>
      </c>
      <c r="D33" s="660" t="str">
        <f>'[6]zona de intervención'!E33</f>
        <v xml:space="preserve">Casacay </v>
      </c>
      <c r="E33" s="688" t="s">
        <v>1118</v>
      </c>
      <c r="F33" s="658">
        <f>'[6]zona de intervención'!J33</f>
        <v>857</v>
      </c>
      <c r="G33" s="658">
        <f>'[6]zona de intervención'!K33</f>
        <v>128</v>
      </c>
      <c r="H33" s="687">
        <f>'[6]zona de intervención'!L33</f>
        <v>30000</v>
      </c>
      <c r="I33" s="686" t="str">
        <f>'[6]zona de intervención'!AS33</f>
        <v>En enero de 2017, Inducción de promotora en manejo de líneas bases. Coordinación para la Socialización de Análisis de vulnerabilidad y plan de adaptación. En el mes de febrero de 2017, se socializa el Análsis de Vulnerabilidad y plan de Adaptación al Cambio Climáitico, levantamiento de línea base. durante el mes de marzo, se ha realizado el arranque de la medida, socialiación del plan de adaptación, socialización de la medida a las comunidades, además se ha realizado la entrega de materiales y accesorios para el mejoramiento de sistemas de agua de consumo y riego, además se dispone del informe trimestral y plan de trabajo. En el mes de abril de 2017, validación de propuesta de fortalecimiento y sostenibilidad. Seguimiento y monitoreo de la medida. En mayo se realiza las especificaciones técnicas y el Plan de Fortalecimiento Sostenibilidad y Cierre. Junio Socialización de la medida y PFC, seguimiento y monitoreo. Julio.- Seguimiento y monitoreo de medida, elaboración informe trimestral, elaboración de fichas de monitoreo. Agosto, Coordinación para participación Festival de Saberes y Sabores en Saraguro. Septiembre.-   Socialización del PFSC con técnicos de los GADS, implementación de un kit de cloración en la comunidad de Quera. Participación en Festival de Saberes y Sabores en Saraguro. Reunión con drigentes de agua de riego y consumo para realiar diagnóstico de SENAGUA frente a su legalización, mantenimiento, etc. Octubre.- Socialización del PFSC, seguimiento y monitoreo de sistema de riego San Benito. Participación en sesión solemne por los 31 años de parroquialización,</v>
      </c>
      <c r="J33" s="658" t="str">
        <f>'[6]zona de intervención'!D33</f>
        <v>MAE</v>
      </c>
      <c r="K33" s="656">
        <f>'[6]zona de intervención'!W33</f>
        <v>42688</v>
      </c>
      <c r="L33" s="656">
        <f>'[6]zona de intervención'!Y33</f>
        <v>42782</v>
      </c>
      <c r="M33" s="657" t="str">
        <f>IF('[6]zona de intervención'!T33=1,"DONE",IF('[6]zona de intervención'!T33=0,"Without measure","In progress"))</f>
        <v>DONE</v>
      </c>
      <c r="N33" s="657" t="str">
        <f>IF('[6]zona de intervención'!U33=1,"DONE",IF('[6]zona de intervención'!U33=0,"Without measure","In progress"))</f>
        <v>DONE</v>
      </c>
      <c r="O33" s="657" t="str">
        <f>IF('[6]zona de intervención'!W33&gt;1/1/2014,"DONE","In progress")</f>
        <v>DONE</v>
      </c>
      <c r="P33" s="657" t="str">
        <f>IF('[6]zona de intervención'!AC33=1,"DONE",IF('[6]zona de intervención'!AC33=0,"Without measure","In progress"))</f>
        <v>DONE</v>
      </c>
      <c r="Q33" s="657" t="str">
        <f>IF('[6]zona de intervención'!AD33=1,"DONE",IF('[6]zona de intervención'!AD33=0,"Without measure","In progress"))</f>
        <v>DONE</v>
      </c>
      <c r="R33" s="657" t="str">
        <f>IF('[6]zona de intervención'!AE33=1,"DONE",IF('[6]zona de intervención'!AE33=0,"Without measure","In progress"))</f>
        <v>DONE</v>
      </c>
      <c r="S33" s="657" t="str">
        <f>IF('[6]zona de intervención'!AF33=1,"DONE",IF('[6]zona de intervención'!AF33=0,"Without measure","In progress"))</f>
        <v>In progress</v>
      </c>
      <c r="T33" s="657" t="str">
        <f>IF('[6]zona de intervención'!AG33=1,"DONE",IF('[6]zona de intervención'!AG33=0,"Without measure","In progress"))</f>
        <v>In progress</v>
      </c>
      <c r="U33" s="653"/>
    </row>
    <row r="34" spans="2:21" s="635" customFormat="1" ht="121.25" customHeight="1" x14ac:dyDescent="0.35">
      <c r="B34" s="655">
        <f t="shared" si="0"/>
        <v>27</v>
      </c>
      <c r="C34" s="658" t="str">
        <f>'[6]zona de intervención'!B34</f>
        <v>EL ORO</v>
      </c>
      <c r="D34" s="660" t="str">
        <f>'[6]zona de intervención'!E34</f>
        <v>Caña Quemada</v>
      </c>
      <c r="E34" s="688" t="s">
        <v>1116</v>
      </c>
      <c r="F34" s="658">
        <f>'[6]zona de intervención'!J34</f>
        <v>150</v>
      </c>
      <c r="G34" s="658">
        <f>'[6]zona de intervención'!K34</f>
        <v>150</v>
      </c>
      <c r="H34" s="687">
        <f>'[6]zona de intervención'!L34</f>
        <v>36706.93</v>
      </c>
      <c r="I34" s="686" t="str">
        <f>'[6]zona de intervención'!AS34</f>
        <v xml:space="preserve">En enero de 2017, Entrega de insumos, taller de capacitación en agroforesteria y crianza animal. En el mes de febrero de 2017, monitoreo y seguimiento de huertos, Historia de vida de co ejecutor. Entrega de líneas base. En marzo se dispone del informe trimestral, además se ha realizado la socialización del plan de adaptación. En el mes de abril de 2017, socialización y validación de propuesta de fortalecimeinto y sostenibilidad. Mayo 2017 Elaboración de especificaciones técnicas y el Plan de Fortalecimiento Sostenibilidad y Cierre. Junio 2017: Presentación de carta para aprobación de PFSC, conclusión de talleres de capacitación incluidos los de la medida, se trabaja en la elaboración del informe trimestral.Julio. Elaboración de informe de cierre, solicitan la adenda del convenio para la implementación del PFSC Agosto, Coordinación para participación Festival de Saberes y Sabores en Saraguro, Septiembre.-  Se ha realizó el taller de culminación de la medida, se solicitó la adenda al convenio ante el MAE, elaboración del informe trimestral del GAD. Participación en el Festival de Sabores y Saberes en Saraguro. </v>
      </c>
      <c r="J34" s="658" t="str">
        <f>'[6]zona de intervención'!D34</f>
        <v>MAE</v>
      </c>
      <c r="K34" s="656">
        <f>'[6]zona de intervención'!W34</f>
        <v>42572</v>
      </c>
      <c r="L34" s="656">
        <f>'[6]zona de intervención'!Y34</f>
        <v>42569</v>
      </c>
      <c r="M34" s="657" t="str">
        <f>IF('[6]zona de intervención'!T34=1,"DONE",IF('[6]zona de intervención'!T34=0,"Without measure","In progress"))</f>
        <v>DONE</v>
      </c>
      <c r="N34" s="657" t="str">
        <f>IF('[6]zona de intervención'!U34=1,"DONE",IF('[6]zona de intervención'!U34=0,"Without measure","In progress"))</f>
        <v>DONE</v>
      </c>
      <c r="O34" s="657" t="str">
        <f>IF('[6]zona de intervención'!W34&gt;1/1/2014,"DONE","In progress")</f>
        <v>DONE</v>
      </c>
      <c r="P34" s="657" t="str">
        <f>IF('[6]zona de intervención'!AC34=1,"DONE",IF('[6]zona de intervención'!AC34=0,"Without measure","In progress"))</f>
        <v>DONE</v>
      </c>
      <c r="Q34" s="657" t="str">
        <f>IF('[6]zona de intervención'!AD34=1,"DONE",IF('[6]zona de intervención'!AD34=0,"Without measure","In progress"))</f>
        <v>DONE</v>
      </c>
      <c r="R34" s="657" t="str">
        <f>IF('[6]zona de intervención'!AE34=1,"DONE",IF('[6]zona de intervención'!AE34=0,"Without measure","In progress"))</f>
        <v>DONE</v>
      </c>
      <c r="S34" s="657" t="str">
        <f>IF('[6]zona de intervención'!AF34=1,"DONE",IF('[6]zona de intervención'!AF34=0,"Without measure","In progress"))</f>
        <v>DONE</v>
      </c>
      <c r="T34" s="657" t="str">
        <f>IF('[6]zona de intervención'!AG34=1,"DONE",IF('[6]zona de intervención'!AG34=0,"Without measure","In progress"))</f>
        <v>In progress</v>
      </c>
      <c r="U34" s="653"/>
    </row>
    <row r="35" spans="2:21" s="635" customFormat="1" ht="126" x14ac:dyDescent="0.35">
      <c r="B35" s="655">
        <f t="shared" si="0"/>
        <v>28</v>
      </c>
      <c r="C35" s="658" t="str">
        <f>'[6]zona de intervención'!B35</f>
        <v>EL ORO</v>
      </c>
      <c r="D35" s="660" t="str">
        <f>'[6]zona de intervención'!E35</f>
        <v>Uzhcurrumi</v>
      </c>
      <c r="E35" s="688" t="s">
        <v>1114</v>
      </c>
      <c r="F35" s="658">
        <f>'[6]zona de intervención'!J35</f>
        <v>340</v>
      </c>
      <c r="G35" s="658">
        <f>'[6]zona de intervención'!K35</f>
        <v>365</v>
      </c>
      <c r="H35" s="687">
        <f>'[6]zona de intervención'!L35</f>
        <v>93500</v>
      </c>
      <c r="I35" s="686" t="str">
        <f>'[6]zona de intervención'!AS35</f>
        <v xml:space="preserve"> En el mes de enero de 2017, Seguimiento y monitoreo a medida. Asistir al evento de parroquialización de Uzhcurrumi. En el mes de febrero de 2017, Seguimiento y monitoreo de la medida. Socialización de Análisis de vulnerabilidad y plan de Adaptación al Cambio climático. Levantamiento de líneas base. Durante el mes de marzo se realizó seguimiento y monitoreo, además se elaboró el informe trimestral enero-marzo. En el mes de abril socializacón y validación de propuesta de fortalecimiento y sostenibilidad. En mayo elaboración de especificaciones técnicas para el PFSC.  Junio: Entrega de insumos, presentación del PFSC. Julio. Elaboración de informe trimestral, identificación de sitios de intervención para protección de fuentes hídricas, levantamiento de líneas bases de la tipología ecosistemas. Agosto, Coordinación para participación Festival de Saberes y Sabores en Saraguro, Septiembre.-  Reunión con drigentes de agua de riego y consumo para realiar diagnóstico de SENAGUA frente a su legalización, msntenimiento, etc. Seguimiento y monitoreo de los canales de riego, instalación de tres kits de cloración. Octubre.-  Socialización del PFSC, seguimiento y monitoreo del canal Carabota y Cucho.</v>
      </c>
      <c r="J35" s="658" t="str">
        <f>'[6]zona de intervención'!D35</f>
        <v>MAE</v>
      </c>
      <c r="K35" s="656">
        <f>'[6]zona de intervención'!W35</f>
        <v>42487</v>
      </c>
      <c r="L35" s="656">
        <f>'[6]zona de intervención'!Y35</f>
        <v>42564</v>
      </c>
      <c r="M35" s="657" t="str">
        <f>IF('[6]zona de intervención'!T35=1,"DONE",IF('[6]zona de intervención'!T35=0,"Without measure","In progress"))</f>
        <v>DONE</v>
      </c>
      <c r="N35" s="657" t="str">
        <f>IF('[6]zona de intervención'!U35=1,"DONE",IF('[6]zona de intervención'!U35=0,"Without measure","In progress"))</f>
        <v>DONE</v>
      </c>
      <c r="O35" s="657" t="str">
        <f>IF('[6]zona de intervención'!W35&gt;1/1/2014,"DONE","In progress")</f>
        <v>DONE</v>
      </c>
      <c r="P35" s="657" t="str">
        <f>IF('[6]zona de intervención'!AC35=1,"DONE",IF('[6]zona de intervención'!AC35=0,"Without measure","In progress"))</f>
        <v>DONE</v>
      </c>
      <c r="Q35" s="657" t="str">
        <f>IF('[6]zona de intervención'!AD35=1,"DONE",IF('[6]zona de intervención'!AD35=0,"Without measure","In progress"))</f>
        <v>DONE</v>
      </c>
      <c r="R35" s="657" t="str">
        <f>IF('[6]zona de intervención'!AE35=1,"DONE",IF('[6]zona de intervención'!AE35=0,"Without measure","In progress"))</f>
        <v>DONE</v>
      </c>
      <c r="S35" s="657" t="str">
        <f>IF('[6]zona de intervención'!AF35=1,"DONE",IF('[6]zona de intervención'!AF35=0,"Without measure","In progress"))</f>
        <v>In progress</v>
      </c>
      <c r="T35" s="657" t="str">
        <f>IF('[6]zona de intervención'!AG35=1,"DONE",IF('[6]zona de intervención'!AG35=0,"Without measure","In progress"))</f>
        <v>In progress</v>
      </c>
      <c r="U35" s="653"/>
    </row>
    <row r="36" spans="2:21" s="635" customFormat="1" ht="70" x14ac:dyDescent="0.35">
      <c r="B36" s="655">
        <f t="shared" si="0"/>
        <v>29</v>
      </c>
      <c r="C36" s="658" t="str">
        <f>'[6]zona de intervención'!B36</f>
        <v>LOJA</v>
      </c>
      <c r="D36" s="660" t="str">
        <f>'[6]zona de intervención'!E36</f>
        <v>San Pablo de Tenta</v>
      </c>
      <c r="E36" s="688" t="s">
        <v>1112</v>
      </c>
      <c r="F36" s="658">
        <f>'[6]zona de intervención'!J36</f>
        <v>204</v>
      </c>
      <c r="G36" s="658">
        <f>'[6]zona de intervención'!K36</f>
        <v>206</v>
      </c>
      <c r="H36" s="687">
        <f>'[6]zona de intervención'!L36</f>
        <v>80403.97</v>
      </c>
      <c r="I36" s="686" t="str">
        <f>'[6]zona de intervención'!AS36</f>
        <v>Abril de 2017, elaboración de especificaciones técnicas para el plan de fortalecimiento, sostenibilidad y cierre. Mayo 2017 Elaboración del plan de fortalecimiento, sostenibilidad y cierre. El convenio se encuentra en Quito para su suscripción. Junio 2017. Acercamiento y reunión con presidente del GAD para socializar el PFSC. Julio. Elaboración de informes trimestrales Agosto, Coordinación para participación Festival de Saberes y Sabores en Saraguro Septiembre,-  Organización con GAD para participación de beneficiarios en evento de Saraguro, taller de culminación de medida, socialización del PFSC, visita de obras por parte de oficial de PMA</v>
      </c>
      <c r="J36" s="658" t="str">
        <f>'[6]zona de intervención'!D36</f>
        <v>CCRJ</v>
      </c>
      <c r="K36" s="656">
        <f>'[6]zona de intervención'!W36</f>
        <v>41821</v>
      </c>
      <c r="L36" s="656">
        <f>'[6]zona de intervención'!Y36</f>
        <v>41913</v>
      </c>
      <c r="M36" s="657" t="str">
        <f>IF('[6]zona de intervención'!T36=1,"DONE",IF('[6]zona de intervención'!T36=0,"Without measure","In progress"))</f>
        <v>DONE</v>
      </c>
      <c r="N36" s="657" t="str">
        <f>IF('[6]zona de intervención'!U36=1,"DONE",IF('[6]zona de intervención'!U36=0,"Without measure","In progress"))</f>
        <v>DONE</v>
      </c>
      <c r="O36" s="657" t="str">
        <f>IF('[6]zona de intervención'!W36&gt;1/1/2014,"DONE","In progress")</f>
        <v>DONE</v>
      </c>
      <c r="P36" s="657" t="str">
        <f>IF('[6]zona de intervención'!AC36=1,"DONE",IF('[6]zona de intervención'!AC36=0,"Without measure","In progress"))</f>
        <v>DONE</v>
      </c>
      <c r="Q36" s="657" t="str">
        <f>IF('[6]zona de intervención'!AD36=1,"DONE",IF('[6]zona de intervención'!AD36=0,"Without measure","In progress"))</f>
        <v>DONE</v>
      </c>
      <c r="R36" s="657" t="str">
        <f>IF('[6]zona de intervención'!AE36=1,"DONE",IF('[6]zona de intervención'!AE36=0,"Without measure","In progress"))</f>
        <v>DONE</v>
      </c>
      <c r="S36" s="657" t="str">
        <f>IF('[6]zona de intervención'!AF36=1,"DONE",IF('[6]zona de intervención'!AF36=0,"Without measure","In progress"))</f>
        <v>DONE</v>
      </c>
      <c r="T36" s="657" t="str">
        <f>IF('[6]zona de intervención'!AG36=1,"DONE",IF('[6]zona de intervención'!AG36=0,"Without measure","In progress"))</f>
        <v>DONE</v>
      </c>
      <c r="U36" s="653"/>
    </row>
    <row r="37" spans="2:21" s="635" customFormat="1" ht="92" customHeight="1" x14ac:dyDescent="0.35">
      <c r="B37" s="655">
        <f t="shared" si="0"/>
        <v>30</v>
      </c>
      <c r="C37" s="658" t="str">
        <f>'[6]zona de intervención'!B37</f>
        <v>LOJA</v>
      </c>
      <c r="D37" s="660" t="str">
        <f>'[6]zona de intervención'!E37</f>
        <v>Lluzhapa</v>
      </c>
      <c r="E37" s="688" t="s">
        <v>1110</v>
      </c>
      <c r="F37" s="658">
        <f>'[6]zona de intervención'!J37</f>
        <v>320</v>
      </c>
      <c r="G37" s="658">
        <f>'[6]zona de intervención'!K37</f>
        <v>320</v>
      </c>
      <c r="H37" s="687">
        <f>'[6]zona de intervención'!L37</f>
        <v>90975.21</v>
      </c>
      <c r="I37" s="686" t="str">
        <f>'[6]zona de intervención'!AS37</f>
        <v>En enero de 2017, monitoreo y seguimiento de la medida. o) En el mes de febrero de 2017, seguimiento y monitoreo de medidas. p)En el mes de marzo de 2017, seguimiento de las obras de riego, entrega de válvula al GAD parroquial. Abril 2017 Especificaciones técnicas del plan de fotalecimiento, seguimiento y monitoreo de las zonas de riego. Mayo 2017 Elaboración del plan de fortalecimiento, sostenibilidad y cierre. Junio 2017 Socialización , validación y firma de aprobación del Plan de fortalecimiento, sostenibilidad y cierre PFSC  Julio. Elaboración de informes trimestralesAgosto, Coordinación para participación Festival de Saberes y Sabores en Saraguro Septiembre,-  Organización con GAD para participación de beneficiarios en evento de Saraguro, taller de culminación de medida, socialización del PFSC, visita de obras por parte de oficial de PMA</v>
      </c>
      <c r="J37" s="658" t="str">
        <f>'[6]zona de intervención'!D37</f>
        <v>MAE</v>
      </c>
      <c r="K37" s="656">
        <f>'[6]zona de intervención'!W37</f>
        <v>42163</v>
      </c>
      <c r="L37" s="656">
        <f>'[6]zona de intervención'!Y37</f>
        <v>42305</v>
      </c>
      <c r="M37" s="657" t="str">
        <f>IF('[6]zona de intervención'!T37=1,"DONE",IF('[6]zona de intervención'!T37=0,"Without measure","In progress"))</f>
        <v>DONE</v>
      </c>
      <c r="N37" s="657" t="str">
        <f>IF('[6]zona de intervención'!U37=1,"DONE",IF('[6]zona de intervención'!U37=0,"Without measure","In progress"))</f>
        <v>DONE</v>
      </c>
      <c r="O37" s="657" t="str">
        <f>IF('[6]zona de intervención'!W37&gt;1/1/2014,"DONE","In progress")</f>
        <v>DONE</v>
      </c>
      <c r="P37" s="657" t="str">
        <f>IF('[6]zona de intervención'!AC37=1,"DONE",IF('[6]zona de intervención'!AC37=0,"Without measure","In progress"))</f>
        <v>DONE</v>
      </c>
      <c r="Q37" s="657" t="str">
        <f>IF('[6]zona de intervención'!AD37=1,"DONE",IF('[6]zona de intervención'!AD37=0,"Without measure","In progress"))</f>
        <v>DONE</v>
      </c>
      <c r="R37" s="657" t="str">
        <f>IF('[6]zona de intervención'!AE37=1,"DONE",IF('[6]zona de intervención'!AE37=0,"Without measure","In progress"))</f>
        <v>DONE</v>
      </c>
      <c r="S37" s="657" t="str">
        <f>IF('[6]zona de intervención'!AF37=1,"DONE",IF('[6]zona de intervención'!AF37=0,"Without measure","In progress"))</f>
        <v>DONE</v>
      </c>
      <c r="T37" s="657" t="str">
        <f>IF('[6]zona de intervención'!AG37=1,"DONE",IF('[6]zona de intervención'!AG37=0,"Without measure","In progress"))</f>
        <v>In progress</v>
      </c>
      <c r="U37" s="653"/>
    </row>
    <row r="38" spans="2:21" s="635" customFormat="1" ht="75" customHeight="1" x14ac:dyDescent="0.35">
      <c r="B38" s="655">
        <f t="shared" si="0"/>
        <v>31</v>
      </c>
      <c r="C38" s="658" t="str">
        <f>'[6]zona de intervención'!B38</f>
        <v>LOJA</v>
      </c>
      <c r="D38" s="660" t="str">
        <f>'[6]zona de intervención'!E38</f>
        <v>Urdaneta</v>
      </c>
      <c r="E38" s="688" t="s">
        <v>1108</v>
      </c>
      <c r="F38" s="658">
        <f>'[6]zona de intervención'!J38</f>
        <v>271</v>
      </c>
      <c r="G38" s="658">
        <f>'[6]zona de intervención'!K38</f>
        <v>252</v>
      </c>
      <c r="H38" s="687">
        <f>'[6]zona de intervención'!L38</f>
        <v>57483.01</v>
      </c>
      <c r="I38" s="686" t="str">
        <f>'[6]zona de intervención'!AS38</f>
        <v>Mayo 2017: Elaboración de especificaciones tecnicas y Plan de fortalecimiento sostenibilidad y cierre de la medida. El convenio se encuentra en Quito para su suscripción.  Junio 2017. Acercamiento y reuniones con presidente del GAD parroquial para socializar el PFSC. Julio. Elaboración de informes trimestrales Agosto, Coordinación para participación Festival de Saberes y Sabores en Saraguro Septiembre,-  Organización con GAD para participación de beneficiarios en evento de Saraguro, taller de culminación de medida, socialización del PFSC, visita de obras por parte de oficial de PMA</v>
      </c>
      <c r="J38" s="658" t="str">
        <f>'[6]zona de intervención'!D38</f>
        <v>CCRJ</v>
      </c>
      <c r="K38" s="656">
        <f>'[6]zona de intervención'!W38</f>
        <v>41926</v>
      </c>
      <c r="L38" s="656">
        <f>'[6]zona de intervención'!Y38</f>
        <v>41913</v>
      </c>
      <c r="M38" s="657" t="str">
        <f>IF('[6]zona de intervención'!T38=1,"DONE",IF('[6]zona de intervención'!T38=0,"Without measure","In progress"))</f>
        <v>DONE</v>
      </c>
      <c r="N38" s="657" t="str">
        <f>IF('[6]zona de intervención'!U38=1,"DONE",IF('[6]zona de intervención'!U38=0,"Without measure","In progress"))</f>
        <v>DONE</v>
      </c>
      <c r="O38" s="657" t="str">
        <f>IF('[6]zona de intervención'!W38&gt;1/1/2014,"DONE","In progress")</f>
        <v>DONE</v>
      </c>
      <c r="P38" s="657" t="str">
        <f>IF('[6]zona de intervención'!AC38=1,"DONE",IF('[6]zona de intervención'!AC38=0,"Without measure","In progress"))</f>
        <v>DONE</v>
      </c>
      <c r="Q38" s="657" t="str">
        <f>IF('[6]zona de intervención'!AD38=1,"DONE",IF('[6]zona de intervención'!AD38=0,"Without measure","In progress"))</f>
        <v>DONE</v>
      </c>
      <c r="R38" s="657" t="str">
        <f>IF('[6]zona de intervención'!AE38=1,"DONE",IF('[6]zona de intervención'!AE38=0,"Without measure","In progress"))</f>
        <v>DONE</v>
      </c>
      <c r="S38" s="657" t="str">
        <f>IF('[6]zona de intervención'!AF38=1,"DONE",IF('[6]zona de intervención'!AF38=0,"Without measure","In progress"))</f>
        <v>DONE</v>
      </c>
      <c r="T38" s="657" t="str">
        <f>IF('[6]zona de intervención'!AG38=1,"DONE",IF('[6]zona de intervención'!AG38=0,"Without measure","In progress"))</f>
        <v>DONE</v>
      </c>
      <c r="U38" s="653"/>
    </row>
    <row r="39" spans="2:21" s="635" customFormat="1" ht="89.4" customHeight="1" x14ac:dyDescent="0.35">
      <c r="B39" s="655">
        <f t="shared" si="0"/>
        <v>32</v>
      </c>
      <c r="C39" s="658" t="str">
        <f>'[6]zona de intervención'!B39</f>
        <v>LOJA</v>
      </c>
      <c r="D39" s="660" t="str">
        <f>'[6]zona de intervención'!E39</f>
        <v xml:space="preserve">Cumbe </v>
      </c>
      <c r="E39" s="688" t="s">
        <v>1105</v>
      </c>
      <c r="F39" s="658">
        <f>'[6]zona de intervención'!J39</f>
        <v>224</v>
      </c>
      <c r="G39" s="658">
        <f>'[6]zona de intervención'!K39</f>
        <v>190</v>
      </c>
      <c r="H39" s="687">
        <f>'[6]zona de intervención'!L39</f>
        <v>59825.73</v>
      </c>
      <c r="I39" s="686" t="str">
        <f>'[6]zona de intervención'!AS39</f>
        <v>En el mes de febrero de 2017, planificación de cierre k)En el mes de marzo de 2017 se realizo el taller de cierre de la medida, Abril de 2017 Definición y  Elaboracion de especificaciones técnicas y Planes de Fortalecimiento Sostenibilidad y Cierre. Mayo 2017 Elaboración del plan de fortalecimiento, sostenibilidad y cierre. Junio 2017 Socialización , validación y firma de aprobación del Plan de fortalecimiento, sostenibilidad y cierre PFSC Julio. Elaboración de informes trimestrales Agosto, Coordinación para participación Festival de Saberes y Sabores en Saraguro Septiembre,-  Organización con GAD para participación de beneficiarios en evento de Saraguro, taller de culminación de medida, socialización del PFSC, visita de obras por parte de oficial de PMA</v>
      </c>
      <c r="J39" s="658" t="str">
        <f>'[6]zona de intervención'!D39</f>
        <v>MAE</v>
      </c>
      <c r="K39" s="656">
        <f>'[6]zona de intervención'!W39</f>
        <v>42180</v>
      </c>
      <c r="L39" s="656">
        <f>'[6]zona de intervención'!Y39</f>
        <v>42328</v>
      </c>
      <c r="M39" s="657" t="str">
        <f>IF('[6]zona de intervención'!T39=1,"DONE",IF('[6]zona de intervención'!T39=0,"Without measure","In progress"))</f>
        <v>DONE</v>
      </c>
      <c r="N39" s="657" t="str">
        <f>IF('[6]zona de intervención'!U39=1,"DONE",IF('[6]zona de intervención'!U39=0,"Without measure","In progress"))</f>
        <v>DONE</v>
      </c>
      <c r="O39" s="657" t="str">
        <f>IF('[6]zona de intervención'!W39&gt;1/1/2014,"DONE","In progress")</f>
        <v>DONE</v>
      </c>
      <c r="P39" s="657" t="str">
        <f>IF('[6]zona de intervención'!AC39=1,"DONE",IF('[6]zona de intervención'!AC39=0,"Without measure","In progress"))</f>
        <v>DONE</v>
      </c>
      <c r="Q39" s="657" t="str">
        <f>IF('[6]zona de intervención'!AD39=1,"DONE",IF('[6]zona de intervención'!AD39=0,"Without measure","In progress"))</f>
        <v>DONE</v>
      </c>
      <c r="R39" s="657" t="str">
        <f>IF('[6]zona de intervención'!AE39=1,"DONE",IF('[6]zona de intervención'!AE39=0,"Without measure","In progress"))</f>
        <v>DONE</v>
      </c>
      <c r="S39" s="657" t="str">
        <f>IF('[6]zona de intervención'!AF39=1,"DONE",IF('[6]zona de intervención'!AF39=0,"Without measure","In progress"))</f>
        <v>DONE</v>
      </c>
      <c r="T39" s="657" t="str">
        <f>IF('[6]zona de intervención'!AG39=1,"DONE",IF('[6]zona de intervención'!AG39=0,"Without measure","In progress"))</f>
        <v>In progress</v>
      </c>
      <c r="U39" s="653"/>
    </row>
    <row r="40" spans="2:21" s="635" customFormat="1" ht="105.65" customHeight="1" x14ac:dyDescent="0.35">
      <c r="B40" s="655">
        <f t="shared" si="0"/>
        <v>33</v>
      </c>
      <c r="C40" s="658" t="str">
        <f>'[6]zona de intervención'!B40</f>
        <v>LOJA</v>
      </c>
      <c r="D40" s="660" t="str">
        <f>'[6]zona de intervención'!E40</f>
        <v>El Tablón</v>
      </c>
      <c r="E40" s="688" t="s">
        <v>1103</v>
      </c>
      <c r="F40" s="658">
        <f>'[6]zona de intervención'!J40</f>
        <v>270</v>
      </c>
      <c r="G40" s="658">
        <f>'[6]zona de intervención'!K40</f>
        <v>225</v>
      </c>
      <c r="H40" s="687">
        <f>'[6]zona de intervención'!L40</f>
        <v>61120.4</v>
      </c>
      <c r="I40" s="686" t="str">
        <f>'[6]zona de intervención'!AS40</f>
        <v>En enero de 2017, Obtención de la resolución. En el mes de febrero de 2017. Instalación de dispositivo antiheladas.  En el mes de marzo de 2017. En espera de los insumos. Abril 2017  Elaboracion de especificaciones técnicas y Planes de Fortalecimiento Sostenibilidad y Cierre. Mayo 2017 Elaboración del plan de fortalecimiento, sostenibilidad y cierre. Junio 2017 Socialización , validación y firma de aprobación del Plan de fortalecimiento, sostenibilidad y cierre PFSC. Recorrido de seguimiento y monitoreo de los insumos entregados en la propuesta de inversión de saldos. Julio. Elaboración de informes trimestrales Agosto, Coordinación para participación Festival de Saberes y Sabores en Saraguro Septiembre,-  Organización con GAD para participación de beneficiarios en evento de Saraguro, taller de culminación de medida, socialización del PFSC, visita de obras por parte de oficial de PMA</v>
      </c>
      <c r="J40" s="658" t="str">
        <f>'[6]zona de intervención'!D40</f>
        <v>MAE</v>
      </c>
      <c r="K40" s="656">
        <f>'[6]zona de intervención'!W40</f>
        <v>42163</v>
      </c>
      <c r="L40" s="656">
        <f>'[6]zona de intervención'!Y40</f>
        <v>42256</v>
      </c>
      <c r="M40" s="657" t="str">
        <f>IF('[6]zona de intervención'!T40=1,"DONE",IF('[6]zona de intervención'!T40=0,"Without measure","In progress"))</f>
        <v>DONE</v>
      </c>
      <c r="N40" s="657" t="str">
        <f>IF('[6]zona de intervención'!U40=1,"DONE",IF('[6]zona de intervención'!U40=0,"Without measure","In progress"))</f>
        <v>DONE</v>
      </c>
      <c r="O40" s="657" t="str">
        <f>IF('[6]zona de intervención'!W40&gt;1/1/2014,"DONE","In progress")</f>
        <v>DONE</v>
      </c>
      <c r="P40" s="657" t="str">
        <f>IF('[6]zona de intervención'!AC40=1,"DONE",IF('[6]zona de intervención'!AC40=0,"Without measure","In progress"))</f>
        <v>DONE</v>
      </c>
      <c r="Q40" s="657" t="str">
        <f>IF('[6]zona de intervención'!AD40=1,"DONE",IF('[6]zona de intervención'!AD40=0,"Without measure","In progress"))</f>
        <v>DONE</v>
      </c>
      <c r="R40" s="657" t="str">
        <f>IF('[6]zona de intervención'!AE40=1,"DONE",IF('[6]zona de intervención'!AE40=0,"Without measure","In progress"))</f>
        <v>DONE</v>
      </c>
      <c r="S40" s="657" t="str">
        <f>IF('[6]zona de intervención'!AF40=1,"DONE",IF('[6]zona de intervención'!AF40=0,"Without measure","In progress"))</f>
        <v>DONE</v>
      </c>
      <c r="T40" s="657" t="str">
        <f>IF('[6]zona de intervención'!AG40=1,"DONE",IF('[6]zona de intervención'!AG40=0,"Without measure","In progress"))</f>
        <v>In progress</v>
      </c>
      <c r="U40" s="653"/>
    </row>
    <row r="41" spans="2:21" s="635" customFormat="1" ht="114" customHeight="1" x14ac:dyDescent="0.35">
      <c r="B41" s="655">
        <f t="shared" ref="B41:B59" si="1">+B40+1</f>
        <v>34</v>
      </c>
      <c r="C41" s="658" t="str">
        <f>'[6]zona de intervención'!B41</f>
        <v>LOJA</v>
      </c>
      <c r="D41" s="660" t="str">
        <f>'[6]zona de intervención'!E41</f>
        <v>Sumaypamba</v>
      </c>
      <c r="E41" s="688" t="s">
        <v>1101</v>
      </c>
      <c r="F41" s="658">
        <f>'[6]zona de intervención'!J41</f>
        <v>300</v>
      </c>
      <c r="G41" s="658">
        <f>'[6]zona de intervención'!K41</f>
        <v>300</v>
      </c>
      <c r="H41" s="687">
        <f>'[6]zona de intervención'!L41</f>
        <v>76213.440000000002</v>
      </c>
      <c r="I41" s="686" t="str">
        <f>'[6]zona de intervención'!AS41</f>
        <v>En el mes de enero de 2017, Socialización de análisis de vulnerabilidad y plan de adaptación al cambio climático y obtención de resolución, elaboración de informes trimestrales. En el mes de febrero de 2017, Planificación para evento de inauguración de obras. n) En el mes de marzo de 2017, Inauguración y entrega de la obra de riego a los beneficiarios. Y taller de cierre de medida técnica. Abril 2017  Elaboracion de especificaciones técnicas y Planes de Fortalecimiento Sostenibilidad y Cierre, Seguimiento a las obras de riego. Mayo 2017 Elaboración del plan de fortalecimiento, sostenibilidad y cierre. Junio 2017 Socialización , validación y firma de aprobación del Plan de fortalecimiento, sostenibilidad y cierre PFSC. Julio. Elaboración de informes trimestrales Agosto, Coordinación para participación Festival de Saberes y Sabores en Saraguro Septiembre,-  Organización con GAD para participación de beneficiarios en evento de Saraguro, taller de culminación de medida, socialización del PFSC, visita de obras por parte de oficial de PMA</v>
      </c>
      <c r="J41" s="658" t="str">
        <f>'[6]zona de intervención'!D41</f>
        <v>MAE</v>
      </c>
      <c r="K41" s="656">
        <f>'[6]zona de intervención'!W41</f>
        <v>42180</v>
      </c>
      <c r="L41" s="656">
        <f>'[6]zona de intervención'!Y41</f>
        <v>42277</v>
      </c>
      <c r="M41" s="657" t="str">
        <f>IF('[6]zona de intervención'!T41=1,"DONE",IF('[6]zona de intervención'!T41=0,"Without measure","In progress"))</f>
        <v>DONE</v>
      </c>
      <c r="N41" s="657" t="str">
        <f>IF('[6]zona de intervención'!U41=1,"DONE",IF('[6]zona de intervención'!U41=0,"Without measure","In progress"))</f>
        <v>DONE</v>
      </c>
      <c r="O41" s="657" t="str">
        <f>IF('[6]zona de intervención'!W41&gt;1/1/2014,"DONE","In progress")</f>
        <v>DONE</v>
      </c>
      <c r="P41" s="657" t="str">
        <f>IF('[6]zona de intervención'!AC41=1,"DONE",IF('[6]zona de intervención'!AC41=0,"Without measure","In progress"))</f>
        <v>DONE</v>
      </c>
      <c r="Q41" s="657" t="str">
        <f>IF('[6]zona de intervención'!AD41=1,"DONE",IF('[6]zona de intervención'!AD41=0,"Without measure","In progress"))</f>
        <v>DONE</v>
      </c>
      <c r="R41" s="657" t="str">
        <f>IF('[6]zona de intervención'!AE41=1,"DONE",IF('[6]zona de intervención'!AE41=0,"Without measure","In progress"))</f>
        <v>DONE</v>
      </c>
      <c r="S41" s="657" t="str">
        <f>IF('[6]zona de intervención'!AF41=1,"DONE",IF('[6]zona de intervención'!AF41=0,"Without measure","In progress"))</f>
        <v>DONE</v>
      </c>
      <c r="T41" s="657" t="str">
        <f>IF('[6]zona de intervención'!AG41=1,"DONE",IF('[6]zona de intervención'!AG41=0,"Without measure","In progress"))</f>
        <v>In progress</v>
      </c>
      <c r="U41" s="653"/>
    </row>
    <row r="42" spans="2:21" s="635" customFormat="1" ht="90.65" customHeight="1" x14ac:dyDescent="0.35">
      <c r="B42" s="655">
        <f t="shared" si="1"/>
        <v>35</v>
      </c>
      <c r="C42" s="658" t="str">
        <f>'[6]zona de intervención'!B42</f>
        <v>LOJA</v>
      </c>
      <c r="D42" s="660" t="str">
        <f>'[6]zona de intervención'!E42</f>
        <v>Selva Alegre</v>
      </c>
      <c r="E42" s="688" t="s">
        <v>1099</v>
      </c>
      <c r="F42" s="658">
        <f>'[6]zona de intervención'!J42</f>
        <v>315</v>
      </c>
      <c r="G42" s="658">
        <f>'[6]zona de intervención'!K42</f>
        <v>175</v>
      </c>
      <c r="H42" s="687">
        <f>'[6]zona de intervención'!L42</f>
        <v>75066.75</v>
      </c>
      <c r="I42" s="686" t="str">
        <f>'[6]zona de intervención'!AS42</f>
        <v>En el mes de febrero de 2017, taller de cierre técnico de medida. En el mes de marzo de 2017, propuesta de fortalecimiento y desarrollo de informe final. Abril 2017  Definición y elaboracion de especificaciones técnicas y Planes de Fortalecimiento Sostenibilidad y Cierre. Mayo 2017 Elaboración del plan de fortalecimiento, sostenibilidad y cierre. Junio 2017 Socialización , validación y firma de aprobación del Plan de fortalecimiento, sostenibilidad y cierre PFSC Julio. Elaboración de informes trimestrales Agosto, Coordinación para participación Festival de Saberes y Sabores en Saraguro  Septiembre,-  Organización con GAD para participación de beneficiarios en evento de Saraguro, taller de culminación de medida, socialización del PFSC, visita de obras por parte de oficial de PMA</v>
      </c>
      <c r="J42" s="658" t="str">
        <f>'[6]zona de intervención'!D42</f>
        <v>MAE</v>
      </c>
      <c r="K42" s="656">
        <f>'[6]zona de intervención'!W42</f>
        <v>42180</v>
      </c>
      <c r="L42" s="656">
        <f>'[6]zona de intervención'!Y42</f>
        <v>42294</v>
      </c>
      <c r="M42" s="657" t="str">
        <f>IF('[6]zona de intervención'!T42=1,"DONE",IF('[6]zona de intervención'!T42=0,"Without measure","In progress"))</f>
        <v>DONE</v>
      </c>
      <c r="N42" s="657" t="str">
        <f>IF('[6]zona de intervención'!U42=1,"DONE",IF('[6]zona de intervención'!U42=0,"Without measure","In progress"))</f>
        <v>DONE</v>
      </c>
      <c r="O42" s="657" t="str">
        <f>IF('[6]zona de intervención'!W42&gt;1/1/2014,"DONE","In progress")</f>
        <v>DONE</v>
      </c>
      <c r="P42" s="657" t="str">
        <f>IF('[6]zona de intervención'!AC42=1,"DONE",IF('[6]zona de intervención'!AC42=0,"Without measure","In progress"))</f>
        <v>DONE</v>
      </c>
      <c r="Q42" s="657" t="str">
        <f>IF('[6]zona de intervención'!AD42=1,"DONE",IF('[6]zona de intervención'!AD42=0,"Without measure","In progress"))</f>
        <v>DONE</v>
      </c>
      <c r="R42" s="657" t="str">
        <f>IF('[6]zona de intervención'!AE42=1,"DONE",IF('[6]zona de intervención'!AE42=0,"Without measure","In progress"))</f>
        <v>DONE</v>
      </c>
      <c r="S42" s="657" t="str">
        <f>IF('[6]zona de intervención'!AF42=1,"DONE",IF('[6]zona de intervención'!AF42=0,"Without measure","In progress"))</f>
        <v>DONE</v>
      </c>
      <c r="T42" s="657" t="str">
        <f>IF('[6]zona de intervención'!AG42=1,"DONE",IF('[6]zona de intervención'!AG42=0,"Without measure","In progress"))</f>
        <v>In progress</v>
      </c>
      <c r="U42" s="653"/>
    </row>
    <row r="43" spans="2:21" s="635" customFormat="1" ht="102.65" customHeight="1" x14ac:dyDescent="0.35">
      <c r="B43" s="655">
        <f t="shared" si="1"/>
        <v>36</v>
      </c>
      <c r="C43" s="658" t="str">
        <f>'[6]zona de intervención'!B43</f>
        <v>LOJA</v>
      </c>
      <c r="D43" s="660" t="str">
        <f>'[6]zona de intervención'!E43</f>
        <v>San Sebastián de Yuluc</v>
      </c>
      <c r="E43" s="688" t="s">
        <v>1097</v>
      </c>
      <c r="F43" s="658">
        <f>'[6]zona de intervención'!J43</f>
        <v>250</v>
      </c>
      <c r="G43" s="658">
        <f>'[6]zona de intervención'!K43</f>
        <v>160</v>
      </c>
      <c r="H43" s="687">
        <f>'[6]zona de intervención'!L43</f>
        <v>121344.82</v>
      </c>
      <c r="I43" s="686" t="str">
        <f>'[6]zona de intervención'!AS43</f>
        <v>En el mes de enero de 2017 monitoreo y seguimiento de la medida. Coordinación para el evento de febrero. En el mes de febrero de 2017, seguimiento y monitoreo de obras, Seguimiento resolución.  En el mes de marzo de 2017, taller de cierre de medida. Abril 2017  Elaboracion de especificaciones técnicas y Planes de Fortalecimiento Sostenibilidad y Cierre Seguimiento a las obras de riego. Mayo 2017 Elaboración del plan de fortalecimiento, sostenibilidad y cierre. Junio 2017 Socialización , validación y firma de aprobación del Plan de fortalecimiento, sostenibilidad y cierre PFSC. Julio. Elaboración de informes trimestrales Agosto, Coordinación para participación Festival de Saberes y Sabores en Saraguro Septiembre,-  Organización con GAD para participación de beneficiarios en evento de Saraguro, taller de culminación de medida, socialización del PFSC, visita de obras por parte de oficial de PMA</v>
      </c>
      <c r="J43" s="658" t="str">
        <f>'[6]zona de intervención'!D43</f>
        <v>MAE</v>
      </c>
      <c r="K43" s="656">
        <f>'[6]zona de intervención'!W43</f>
        <v>42180</v>
      </c>
      <c r="L43" s="656">
        <f>'[6]zona de intervención'!Y43</f>
        <v>42276</v>
      </c>
      <c r="M43" s="657" t="str">
        <f>IF('[6]zona de intervención'!T43=1,"DONE",IF('[6]zona de intervención'!T43=0,"Without measure","In progress"))</f>
        <v>DONE</v>
      </c>
      <c r="N43" s="657" t="str">
        <f>IF('[6]zona de intervención'!U43=1,"DONE",IF('[6]zona de intervención'!U43=0,"Without measure","In progress"))</f>
        <v>DONE</v>
      </c>
      <c r="O43" s="657" t="str">
        <f>IF('[6]zona de intervención'!W43&gt;1/1/2014,"DONE","In progress")</f>
        <v>DONE</v>
      </c>
      <c r="P43" s="657" t="str">
        <f>IF('[6]zona de intervención'!AC43=1,"DONE",IF('[6]zona de intervención'!AC43=0,"Without measure","In progress"))</f>
        <v>DONE</v>
      </c>
      <c r="Q43" s="657" t="str">
        <f>IF('[6]zona de intervención'!AD43=1,"DONE",IF('[6]zona de intervención'!AD43=0,"Without measure","In progress"))</f>
        <v>DONE</v>
      </c>
      <c r="R43" s="657" t="str">
        <f>IF('[6]zona de intervención'!AE43=1,"DONE",IF('[6]zona de intervención'!AE43=0,"Without measure","In progress"))</f>
        <v>DONE</v>
      </c>
      <c r="S43" s="657" t="str">
        <f>IF('[6]zona de intervención'!AF43=1,"DONE",IF('[6]zona de intervención'!AF43=0,"Without measure","In progress"))</f>
        <v>DONE</v>
      </c>
      <c r="T43" s="657" t="str">
        <f>IF('[6]zona de intervención'!AG43=1,"DONE",IF('[6]zona de intervención'!AG43=0,"Without measure","In progress"))</f>
        <v>In progress</v>
      </c>
      <c r="U43" s="653"/>
    </row>
    <row r="44" spans="2:21" s="635" customFormat="1" ht="101.4" customHeight="1" x14ac:dyDescent="0.35">
      <c r="B44" s="655">
        <f t="shared" si="1"/>
        <v>37</v>
      </c>
      <c r="C44" s="658" t="str">
        <f>'[6]zona de intervención'!B44</f>
        <v>LOJA</v>
      </c>
      <c r="D44" s="660" t="str">
        <f>'[6]zona de intervención'!E44</f>
        <v>Cabecera Cantonal Saraguro</v>
      </c>
      <c r="E44" s="688" t="s">
        <v>1095</v>
      </c>
      <c r="F44" s="658">
        <f>'[6]zona de intervención'!J44</f>
        <v>205</v>
      </c>
      <c r="G44" s="658">
        <f>'[6]zona de intervención'!K44</f>
        <v>200</v>
      </c>
      <c r="H44" s="687">
        <f>'[6]zona de intervención'!L44</f>
        <v>56535.96</v>
      </c>
      <c r="I44" s="686" t="str">
        <f>'[6]zona de intervención'!AS44</f>
        <v>En enero de 2017 taller de validación de módulos de Camaren, visita de consultor género. Informe trimestral. En el mes de marzo de 2017, Resolución de Plan de Adaptación al Cambio Climático.  Monitoreo a la obra de riego. Abril 2017  Elaboracion de especificaciones técnicas y Planes de Fortalecimiento Sostenibilidad y Cierre, Seguimiento a las obras de riego. Mayo 2017 Elaboración del plan de fortalecimiento, sostenibilidad y cierre. Junio 2017. Socialización, validación y firma de aprobación del Plan de fortalecimiento, sostenibilidad y cierre Julio. Elaboración de informes trimestrales Julio. Elaboración de informes trimestrales Agosto, Coordinación para participación Festival de Saberes y Sabores en Saraguro Septiembre,-  Organización con GAD para participación de beneficiarios en evento de Saraguro, taller de culminación de medida, socialización del PFSC, visita de obras por parte de oficial de PMA</v>
      </c>
      <c r="J44" s="658" t="str">
        <f>'[6]zona de intervención'!D44</f>
        <v>MAE</v>
      </c>
      <c r="K44" s="656">
        <f>'[6]zona de intervención'!W44</f>
        <v>42180</v>
      </c>
      <c r="L44" s="656">
        <f>'[6]zona de intervención'!Y44</f>
        <v>42269</v>
      </c>
      <c r="M44" s="657" t="str">
        <f>IF('[6]zona de intervención'!T44=1,"DONE",IF('[6]zona de intervención'!T44=0,"Without measure","In progress"))</f>
        <v>DONE</v>
      </c>
      <c r="N44" s="657" t="str">
        <f>IF('[6]zona de intervención'!U44=1,"DONE",IF('[6]zona de intervención'!U44=0,"Without measure","In progress"))</f>
        <v>DONE</v>
      </c>
      <c r="O44" s="657" t="str">
        <f>IF('[6]zona de intervención'!W44&gt;1/1/2014,"DONE","In progress")</f>
        <v>DONE</v>
      </c>
      <c r="P44" s="657" t="str">
        <f>IF('[6]zona de intervención'!AC44=1,"DONE",IF('[6]zona de intervención'!AC44=0,"Without measure","In progress"))</f>
        <v>DONE</v>
      </c>
      <c r="Q44" s="657" t="str">
        <f>IF('[6]zona de intervención'!AD44=1,"DONE",IF('[6]zona de intervención'!AD44=0,"Without measure","In progress"))</f>
        <v>DONE</v>
      </c>
      <c r="R44" s="657" t="str">
        <f>IF('[6]zona de intervención'!AE44=1,"DONE",IF('[6]zona de intervención'!AE44=0,"Without measure","In progress"))</f>
        <v>DONE</v>
      </c>
      <c r="S44" s="657" t="str">
        <f>IF('[6]zona de intervención'!AF44=1,"DONE",IF('[6]zona de intervención'!AF44=0,"Without measure","In progress"))</f>
        <v>DONE</v>
      </c>
      <c r="T44" s="657" t="str">
        <f>IF('[6]zona de intervención'!AG44=1,"DONE",IF('[6]zona de intervención'!AG44=0,"Without measure","In progress"))</f>
        <v>In progress</v>
      </c>
      <c r="U44" s="653"/>
    </row>
    <row r="45" spans="2:21" s="635" customFormat="1" ht="120.65" customHeight="1" x14ac:dyDescent="0.35">
      <c r="B45" s="655">
        <f t="shared" si="1"/>
        <v>38</v>
      </c>
      <c r="C45" s="658" t="str">
        <f>'[6]zona de intervención'!B45</f>
        <v>LOJA</v>
      </c>
      <c r="D45" s="660" t="str">
        <f>'[6]zona de intervención'!E45</f>
        <v>Manu</v>
      </c>
      <c r="E45" s="688" t="s">
        <v>1093</v>
      </c>
      <c r="F45" s="658">
        <f>'[6]zona de intervención'!J45</f>
        <v>400</v>
      </c>
      <c r="G45" s="658">
        <f>'[6]zona de intervención'!K45</f>
        <v>395</v>
      </c>
      <c r="H45" s="687">
        <f>'[6]zona de intervención'!L45</f>
        <v>80577.23</v>
      </c>
      <c r="I45" s="686" t="str">
        <f>'[6]zona de intervención'!AS45</f>
        <v>En el mes de enero de 2017, entrega de 200 kits de huertos y 195 kits de riego parcelario. Elaboración de informe trimestral. Taller de inducción de género, cambio climático y seguridad alimentaria. K) En el mes de febrero de 2017, seguimiento a la implementación de la medida. l) En el mes de marzo 2017, mplementación de medida Huertos y sistemas de riego. Abril 2017 seguimiento y monitoreo de las medidas implementadas y elaboracion de especificaciones técnicas y Planes de Fortalecimiento Sostenibilidad y Cierre. Mayo 2017 Elaboración del plan de fortalecimiento, sostenibilidad y cierre, monitoreo e implementación de la medida. Junio 2017 Socialización , validación y firma de aprobación del Plan de fortalecimiento, sostenibilidad y cierre PFSC, recorridos de seguimiento y monitoreo a la medida de adaptación. Julio. Elaboración de informes trimestrales Agosto, Coordinación para participación Festival de Saberes y Sabores en Saraguro Septiembre,-  Organización con GAD para participación de beneficiarios en evento de Saraguro, taller de culminación de medida, socialización del PFSC, visita de obras por parte de oficial de PMA</v>
      </c>
      <c r="J45" s="658" t="str">
        <f>'[6]zona de intervención'!D45</f>
        <v>MAE</v>
      </c>
      <c r="K45" s="656">
        <f>'[6]zona de intervención'!W45</f>
        <v>42513</v>
      </c>
      <c r="L45" s="656">
        <f>'[6]zona de intervención'!Y45</f>
        <v>42593</v>
      </c>
      <c r="M45" s="657" t="str">
        <f>IF('[6]zona de intervención'!T45=1,"DONE",IF('[6]zona de intervención'!T45=0,"Without measure","In progress"))</f>
        <v>DONE</v>
      </c>
      <c r="N45" s="657" t="str">
        <f>IF('[6]zona de intervención'!U45=1,"DONE",IF('[6]zona de intervención'!U45=0,"Without measure","In progress"))</f>
        <v>DONE</v>
      </c>
      <c r="O45" s="657" t="str">
        <f>IF('[6]zona de intervención'!W45&gt;1/1/2014,"DONE","In progress")</f>
        <v>DONE</v>
      </c>
      <c r="P45" s="657" t="str">
        <f>IF('[6]zona de intervención'!AC45=1,"DONE",IF('[6]zona de intervención'!AC45=0,"Without measure","In progress"))</f>
        <v>DONE</v>
      </c>
      <c r="Q45" s="657" t="str">
        <f>IF('[6]zona de intervención'!AD45=1,"DONE",IF('[6]zona de intervención'!AD45=0,"Without measure","In progress"))</f>
        <v>DONE</v>
      </c>
      <c r="R45" s="657" t="str">
        <f>IF('[6]zona de intervención'!AE45=1,"DONE",IF('[6]zona de intervención'!AE45=0,"Without measure","In progress"))</f>
        <v>DONE</v>
      </c>
      <c r="S45" s="657" t="str">
        <f>IF('[6]zona de intervención'!AF45=1,"DONE",IF('[6]zona de intervención'!AF45=0,"Without measure","In progress"))</f>
        <v>In progress</v>
      </c>
      <c r="T45" s="657" t="str">
        <f>IF('[6]zona de intervención'!AG45=1,"DONE",IF('[6]zona de intervención'!AG45=0,"Without measure","In progress"))</f>
        <v>In progress</v>
      </c>
      <c r="U45" s="653"/>
    </row>
    <row r="46" spans="2:21" s="635" customFormat="1" ht="116.4" customHeight="1" x14ac:dyDescent="0.35">
      <c r="B46" s="655">
        <f t="shared" si="1"/>
        <v>39</v>
      </c>
      <c r="C46" s="658" t="str">
        <f>'[6]zona de intervención'!B46</f>
        <v>LOJA</v>
      </c>
      <c r="D46" s="660" t="str">
        <f>'[6]zona de intervención'!E46</f>
        <v>Paraíso de Celén</v>
      </c>
      <c r="E46" s="662" t="s">
        <v>1091</v>
      </c>
      <c r="F46" s="658">
        <f>'[6]zona de intervención'!J46</f>
        <v>300</v>
      </c>
      <c r="G46" s="658">
        <f>'[6]zona de intervención'!K46</f>
        <v>300</v>
      </c>
      <c r="H46" s="687">
        <f>'[6]zona de intervención'!L46</f>
        <v>75474.94</v>
      </c>
      <c r="I46" s="686" t="str">
        <f>'[6]zona de intervención'!AS46</f>
        <v>En el mes de enero de 2016, entrega de 200 kits de huertos agroforestales. Taller de inducción de la medida. Elaboración del informe trimestral.  En el mes de febrero de 2017, seguimiento a instalación de huertos y sistemas de riego.  En el mes de marzo de 2017, Resolución y Plan de adaptación al Cambio Climático, implementación de huertos y sistema de riego parcelario.  Abril 2017 Elaboracion de especificaciones técnicas y Planes de Fortalecimiento Sostenibilidad y Cierre. Mayo 2017  Elaboración del plan de fortalecimiento, sostenibilidad y cierre, monitoreo e implementación de la medida, Junio 2017. Socialización, validación y firma de aprobación del Plan de fortalecimiento, sostenibilidad y cierre, recorridos de seguimiento y moitoreo de medidas de adaptación, medición de redes de riego, capacitación en huertos familiares. Julio. Elaboración de informes trimestrales Agosto, Coordinación para participación Festival de Saberes y Sabores en Saraguro Septiembre,-  Organización con GAD para participación de beneficiarios en evento de Saraguro, taller de culminación de medida, socialización del PFSC, visita de obras por parte de oficial de PMA</v>
      </c>
      <c r="J46" s="658" t="str">
        <f>'[6]zona de intervención'!D46</f>
        <v>MAE</v>
      </c>
      <c r="K46" s="656">
        <f>'[6]zona de intervención'!W46</f>
        <v>42513</v>
      </c>
      <c r="L46" s="656">
        <f>'[6]zona de intervención'!Y46</f>
        <v>42598</v>
      </c>
      <c r="M46" s="657" t="str">
        <f>IF('[6]zona de intervención'!T46=1,"DONE",IF('[6]zona de intervención'!T46=0,"Without measure","In progress"))</f>
        <v>DONE</v>
      </c>
      <c r="N46" s="657" t="str">
        <f>IF('[6]zona de intervención'!U46=1,"DONE",IF('[6]zona de intervención'!U46=0,"Without measure","In progress"))</f>
        <v>DONE</v>
      </c>
      <c r="O46" s="657" t="str">
        <f>IF('[6]zona de intervención'!W46&gt;1/1/2014,"DONE","In progress")</f>
        <v>DONE</v>
      </c>
      <c r="P46" s="657" t="str">
        <f>IF('[6]zona de intervención'!AC46=1,"DONE",IF('[6]zona de intervención'!AC46=0,"Without measure","In progress"))</f>
        <v>DONE</v>
      </c>
      <c r="Q46" s="657" t="str">
        <f>IF('[6]zona de intervención'!AD46=1,"DONE",IF('[6]zona de intervención'!AD46=0,"Without measure","In progress"))</f>
        <v>DONE</v>
      </c>
      <c r="R46" s="657" t="str">
        <f>IF('[6]zona de intervención'!AE46=1,"DONE",IF('[6]zona de intervención'!AE46=0,"Without measure","In progress"))</f>
        <v>DONE</v>
      </c>
      <c r="S46" s="657" t="str">
        <f>IF('[6]zona de intervención'!AF46=1,"DONE",IF('[6]zona de intervención'!AF46=0,"Without measure","In progress"))</f>
        <v>In progress</v>
      </c>
      <c r="T46" s="657" t="str">
        <f>IF('[6]zona de intervención'!AG46=1,"DONE",IF('[6]zona de intervención'!AG46=0,"Without measure","In progress"))</f>
        <v>In progress</v>
      </c>
      <c r="U46" s="653"/>
    </row>
    <row r="47" spans="2:21" s="641" customFormat="1" ht="141" customHeight="1" x14ac:dyDescent="0.35">
      <c r="B47" s="655">
        <f t="shared" si="1"/>
        <v>40</v>
      </c>
      <c r="C47" s="658" t="str">
        <f>'[6]zona de intervención'!B47</f>
        <v>PICHINCHA</v>
      </c>
      <c r="D47" s="660" t="str">
        <f>'[6]zona de intervención'!E47</f>
        <v>Cangahua</v>
      </c>
      <c r="E47" s="662" t="s">
        <v>1088</v>
      </c>
      <c r="F47" s="658">
        <f>'[6]zona de intervención'!J47</f>
        <v>294</v>
      </c>
      <c r="G47" s="658">
        <f>'[6]zona de intervención'!K47</f>
        <v>97</v>
      </c>
      <c r="H47" s="687">
        <f>'[6]zona de intervención'!L47</f>
        <v>57525.81</v>
      </c>
      <c r="I47" s="686" t="str">
        <f>'[6]zona de intervención'!AR47</f>
        <v xml:space="preserve">En Ejecución: Se finalizó la obra física de la medida de adaptación se  colocaron de líneas primarias y secundarias para el riego comunitario de 7Km de tubería para asegurar el riego de 146,58Ha, mediante el trabajo comunitario y el socio ejecutor.
Se encuentra en funcionamiento y se fortaleció la seguridad  alimentaria de 294 familias.
El reglamento interno de la junta de regantes y el diseño de los turnos de distribución del agua de riego se inició la construcción en Abril 2016, se halla pendiente por cambios de autoridades  comunales.                                                                      
Los talleres  de  fortalecimiento de capacidades en cambio climático, género y soberanía alimentaria se ejecutaron con una participación de todos los beneficiarios. 
EL  socio ejecutor GADPP ha priorizado con la comunidad el incentivo  mediante talleres y reuniones. Se está diseñando  las especificaciones técnicas del incentivo.
</v>
      </c>
      <c r="J47" s="658" t="str">
        <f>'[6]zona de intervención'!D47</f>
        <v>GADPP</v>
      </c>
      <c r="K47" s="656">
        <f>'[6]zona de intervención'!W47</f>
        <v>42010</v>
      </c>
      <c r="L47" s="656">
        <f>'[6]zona de intervención'!Y47</f>
        <v>42062</v>
      </c>
      <c r="M47" s="657" t="str">
        <f>IF('[6]zona de intervención'!T47=1,"DONE",IF('[6]zona de intervención'!T47=0,"Without measure","In progress"))</f>
        <v>DONE</v>
      </c>
      <c r="N47" s="657" t="str">
        <f>IF('[6]zona de intervención'!U47=1,"DONE",IF('[6]zona de intervención'!U47=0,"Without measure","In progress"))</f>
        <v>DONE</v>
      </c>
      <c r="O47" s="657" t="str">
        <f>IF('[6]zona de intervención'!W47&gt;1/1/2014,"DONE","In progress")</f>
        <v>DONE</v>
      </c>
      <c r="P47" s="657" t="str">
        <f>IF('[6]zona de intervención'!AC47=1,"DONE",IF('[6]zona de intervención'!AC47=0,"Without measure","In progress"))</f>
        <v>DONE</v>
      </c>
      <c r="Q47" s="657" t="str">
        <f>IF('[6]zona de intervención'!AD47=1,"DONE",IF('[6]zona de intervención'!AD47=0,"Without measure","In progress"))</f>
        <v>DONE</v>
      </c>
      <c r="R47" s="657" t="str">
        <f>IF('[6]zona de intervención'!AE47=1,"DONE",IF('[6]zona de intervención'!AE47=0,"Without measure","In progress"))</f>
        <v>DONE</v>
      </c>
      <c r="S47" s="657" t="str">
        <f>IF('[6]zona de intervención'!AF47=1,"DONE",IF('[6]zona de intervención'!AF47=0,"Without measure","In progress"))</f>
        <v>DONE</v>
      </c>
      <c r="T47" s="657" t="str">
        <f>IF('[6]zona de intervención'!AG47=1,"DONE",IF('[6]zona de intervención'!AG47=0,"Without measure","In progress"))</f>
        <v>In progress</v>
      </c>
      <c r="U47" s="659"/>
    </row>
    <row r="48" spans="2:21" s="635" customFormat="1" ht="164" customHeight="1" x14ac:dyDescent="0.35">
      <c r="B48" s="655">
        <f t="shared" si="1"/>
        <v>41</v>
      </c>
      <c r="C48" s="658" t="str">
        <f>'[6]zona de intervención'!B48</f>
        <v>PICHINCHA</v>
      </c>
      <c r="D48" s="660" t="str">
        <f>'[6]zona de intervención'!E48</f>
        <v>Olmedo</v>
      </c>
      <c r="E48" s="662" t="s">
        <v>1086</v>
      </c>
      <c r="F48" s="658">
        <f>'[6]zona de intervención'!J48</f>
        <v>104</v>
      </c>
      <c r="G48" s="658">
        <f>'[6]zona de intervención'!K48</f>
        <v>104</v>
      </c>
      <c r="H48" s="687">
        <f>'[6]zona de intervención'!L48</f>
        <v>56754.66</v>
      </c>
      <c r="I48" s="686" t="str">
        <f>'[6]zona de intervención'!AR48</f>
        <v xml:space="preserve">En Ejecución: Se finalizó la obra física de la medida de adaptación asegurando la dotación de agua de riego con la construcción de un reservorio que almacena 19.000m3  para regar  400Ha.
Se encuentra funcionando y se fortaleció la seguridad  alimentaria de 104 familias.
El reglamento interno de la junta de regantes y el diseño de los turnos de distribución del agua de riego se inició la construcción en Abril 2016, se halla pendiente por cambios de autoridades  comunales.                                                                      
Los talleres  de  fortalecimiento de capacidades en cambio climático, género y soberanía alimentaria se ejecutaron con una participación de todos los beneficiarios. 
EL  socio ejecutor GADPP ha priorizado con la comunidad el incentivo  mediante talleres y reuniones. Se está diseñando  las especificaciones técnicas del incentivo.
</v>
      </c>
      <c r="J48" s="658" t="str">
        <f>'[6]zona de intervención'!D48</f>
        <v>GADPP</v>
      </c>
      <c r="K48" s="656">
        <f>'[6]zona de intervención'!W48</f>
        <v>42059</v>
      </c>
      <c r="L48" s="656">
        <f>'[6]zona de intervención'!Y48</f>
        <v>42144</v>
      </c>
      <c r="M48" s="657" t="str">
        <f>IF('[6]zona de intervención'!T48=1,"DONE",IF('[6]zona de intervención'!T48=0,"Without measure","In progress"))</f>
        <v>DONE</v>
      </c>
      <c r="N48" s="657" t="str">
        <f>IF('[6]zona de intervención'!U48=1,"DONE",IF('[6]zona de intervención'!U48=0,"Without measure","In progress"))</f>
        <v>DONE</v>
      </c>
      <c r="O48" s="657" t="str">
        <f>IF('[6]zona de intervención'!W48&gt;1/1/2014,"DONE","In progress")</f>
        <v>DONE</v>
      </c>
      <c r="P48" s="657" t="str">
        <f>IF('[6]zona de intervención'!AC48=1,"DONE",IF('[6]zona de intervención'!AC48=0,"Without measure","In progress"))</f>
        <v>DONE</v>
      </c>
      <c r="Q48" s="657" t="str">
        <f>IF('[6]zona de intervención'!AD48=1,"DONE",IF('[6]zona de intervención'!AD48=0,"Without measure","In progress"))</f>
        <v>DONE</v>
      </c>
      <c r="R48" s="657" t="str">
        <f>IF('[6]zona de intervención'!AE48=1,"DONE",IF('[6]zona de intervención'!AE48=0,"Without measure","In progress"))</f>
        <v>DONE</v>
      </c>
      <c r="S48" s="657" t="str">
        <f>IF('[6]zona de intervención'!AF48=1,"DONE",IF('[6]zona de intervención'!AF48=0,"Without measure","In progress"))</f>
        <v>DONE</v>
      </c>
      <c r="T48" s="657" t="str">
        <f>IF('[6]zona de intervención'!AG48=1,"DONE",IF('[6]zona de intervención'!AG48=0,"Without measure","In progress"))</f>
        <v>In progress</v>
      </c>
      <c r="U48" s="653"/>
    </row>
    <row r="49" spans="1:21" s="635" customFormat="1" ht="126" x14ac:dyDescent="0.35">
      <c r="B49" s="655">
        <f t="shared" si="1"/>
        <v>42</v>
      </c>
      <c r="C49" s="658" t="str">
        <f>'[6]zona de intervención'!B49</f>
        <v>PICHINCHA</v>
      </c>
      <c r="D49" s="660" t="str">
        <f>'[6]zona de intervención'!E49</f>
        <v>Cusubamba</v>
      </c>
      <c r="E49" s="662" t="s">
        <v>1084</v>
      </c>
      <c r="F49" s="658">
        <f>'[6]zona de intervención'!J49</f>
        <v>127</v>
      </c>
      <c r="G49" s="658">
        <f>'[6]zona de intervención'!K49</f>
        <v>140</v>
      </c>
      <c r="H49" s="687">
        <f>'[6]zona de intervención'!L49</f>
        <v>64495</v>
      </c>
      <c r="I49" s="686" t="str">
        <f>'[6]zona de intervención'!AR49</f>
        <v xml:space="preserve">En Ejecución: Se finalizó la obra física de la medida de adaptación,  un reservorio que almacenará  10.000 m3  para el riego de 120Ha que beneficiará a las 127 familias.
Se encuentran en construcción  el reglamento interno de las junta de regantes y el al diseño de los turnos de distribución del agua de riego, existe un documento borrador.
Los talleres  de  fortalecimiento de capacidades en cambio climático, género y soberanía alimentaria se ejecutaron con una participación de todos los beneficiarios. 
EL  socio ejecutor GADPP ha priorizado con la comunidad el incentivo  mediante talleres y reuniones. Se está diseñando  las especificaciones técnicas del incentivo.
</v>
      </c>
      <c r="J49" s="658" t="str">
        <f>'[6]zona de intervención'!D49</f>
        <v>GADPP</v>
      </c>
      <c r="K49" s="656">
        <f>'[6]zona de intervención'!W49</f>
        <v>42465</v>
      </c>
      <c r="L49" s="656">
        <f>'[6]zona de intervención'!Y49</f>
        <v>42462</v>
      </c>
      <c r="M49" s="657" t="str">
        <f>IF('[6]zona de intervención'!T49=1,"DONE",IF('[6]zona de intervención'!T49=0,"Without measure","In progress"))</f>
        <v>DONE</v>
      </c>
      <c r="N49" s="657" t="str">
        <f>IF('[6]zona de intervención'!U49=1,"DONE",IF('[6]zona de intervención'!U49=0,"Without measure","In progress"))</f>
        <v>DONE</v>
      </c>
      <c r="O49" s="657" t="str">
        <f>IF('[6]zona de intervención'!W49&gt;1/1/2014,"DONE","In progress")</f>
        <v>DONE</v>
      </c>
      <c r="P49" s="657" t="str">
        <f>IF('[6]zona de intervención'!AC49=1,"DONE",IF('[6]zona de intervención'!AC49=0,"Without measure","In progress"))</f>
        <v>DONE</v>
      </c>
      <c r="Q49" s="657" t="str">
        <f>IF('[6]zona de intervención'!AD49=1,"DONE",IF('[6]zona de intervención'!AD49=0,"Without measure","In progress"))</f>
        <v>DONE</v>
      </c>
      <c r="R49" s="657" t="str">
        <f>IF('[6]zona de intervención'!AE49=1,"DONE",IF('[6]zona de intervención'!AE49=0,"Without measure","In progress"))</f>
        <v>DONE</v>
      </c>
      <c r="S49" s="657" t="str">
        <f>IF('[6]zona de intervención'!AF49=1,"DONE",IF('[6]zona de intervención'!AF49=0,"Without measure","In progress"))</f>
        <v>DONE</v>
      </c>
      <c r="T49" s="657" t="str">
        <f>IF('[6]zona de intervención'!AG49=1,"DONE",IF('[6]zona de intervención'!AG49=0,"Without measure","In progress"))</f>
        <v>In progress</v>
      </c>
      <c r="U49" s="653"/>
    </row>
    <row r="50" spans="1:21" s="635" customFormat="1" ht="126" x14ac:dyDescent="0.35">
      <c r="B50" s="655">
        <f t="shared" si="1"/>
        <v>43</v>
      </c>
      <c r="C50" s="658" t="str">
        <f>'[6]zona de intervención'!B50</f>
        <v>PICHINCHA</v>
      </c>
      <c r="D50" s="660" t="str">
        <f>'[6]zona de intervención'!E50</f>
        <v>Otón</v>
      </c>
      <c r="E50" s="662" t="s">
        <v>1082</v>
      </c>
      <c r="F50" s="658">
        <f>'[6]zona de intervención'!J50</f>
        <v>81</v>
      </c>
      <c r="G50" s="658">
        <f>'[6]zona de intervención'!K50</f>
        <v>85</v>
      </c>
      <c r="H50" s="687">
        <f>'[6]zona de intervención'!L50</f>
        <v>55560</v>
      </c>
      <c r="I50" s="686" t="str">
        <f>'[6]zona de intervención'!AR50</f>
        <v xml:space="preserve">En Ejecución: Se finalizó la obra física de la medida de adaptación asegurando la dotación del agua de riego con la construcción de  dos reservorios  con capacidad 4.000 y 5.000 m³ que incrementaron las áreas de riego a 53ha beneficiando a las  81 familias.
Se encuentran en construcción  el reglamento interno de las junta de regantes y el al diseño de los turnos de distribución del agua de riego, existe un documento borrador.
Los talleres  de  fortalecimiento de capacidades en cambio climático, género y soberanía alimentaria se ejecutaron con una participación de todos los beneficiarios. 
EL  socio ejecutor GADPP ha priorizado con la comunidad el incentivo  mediante talleres y reuniones. Se está diseñando  las especificaciones técnicas del incentivo.
</v>
      </c>
      <c r="J50" s="658" t="str">
        <f>'[6]zona de intervención'!D50</f>
        <v>GADPP</v>
      </c>
      <c r="K50" s="656">
        <f>'[6]zona de intervención'!W50</f>
        <v>42118</v>
      </c>
      <c r="L50" s="656">
        <f>'[6]zona de intervención'!Y50</f>
        <v>42144</v>
      </c>
      <c r="M50" s="657" t="str">
        <f>IF('[6]zona de intervención'!T50=1,"DONE",IF('[6]zona de intervención'!T50=0,"Without measure","In progress"))</f>
        <v>DONE</v>
      </c>
      <c r="N50" s="657" t="str">
        <f>IF('[6]zona de intervención'!U50=1,"DONE",IF('[6]zona de intervención'!U50=0,"Without measure","In progress"))</f>
        <v>DONE</v>
      </c>
      <c r="O50" s="657" t="str">
        <f>IF('[6]zona de intervención'!W50&gt;1/1/2014,"DONE","In progress")</f>
        <v>DONE</v>
      </c>
      <c r="P50" s="657" t="str">
        <f>IF('[6]zona de intervención'!AC50=1,"DONE",IF('[6]zona de intervención'!AC50=0,"Without measure","In progress"))</f>
        <v>DONE</v>
      </c>
      <c r="Q50" s="657" t="str">
        <f>IF('[6]zona de intervención'!AD50=1,"DONE",IF('[6]zona de intervención'!AD50=0,"Without measure","In progress"))</f>
        <v>DONE</v>
      </c>
      <c r="R50" s="657" t="str">
        <f>IF('[6]zona de intervención'!AE50=1,"DONE",IF('[6]zona de intervención'!AE50=0,"Without measure","In progress"))</f>
        <v>DONE</v>
      </c>
      <c r="S50" s="657" t="str">
        <f>IF('[6]zona de intervención'!AF50=1,"DONE",IF('[6]zona de intervención'!AF50=0,"Without measure","In progress"))</f>
        <v>DONE</v>
      </c>
      <c r="T50" s="657" t="str">
        <f>IF('[6]zona de intervención'!AG50=1,"DONE",IF('[6]zona de intervención'!AG50=0,"Without measure","In progress"))</f>
        <v>In progress</v>
      </c>
      <c r="U50" s="653"/>
    </row>
    <row r="51" spans="1:21" s="635" customFormat="1" ht="98" x14ac:dyDescent="0.35">
      <c r="B51" s="655">
        <f t="shared" si="1"/>
        <v>44</v>
      </c>
      <c r="C51" s="658" t="str">
        <f>'[6]zona de intervención'!B51</f>
        <v>PICHINCHA</v>
      </c>
      <c r="D51" s="660" t="str">
        <f>'[6]zona de intervención'!E51</f>
        <v xml:space="preserve">Ayora </v>
      </c>
      <c r="E51" s="662" t="s">
        <v>1080</v>
      </c>
      <c r="F51" s="658">
        <f>'[6]zona de intervención'!J51</f>
        <v>94</v>
      </c>
      <c r="G51" s="658">
        <f>'[6]zona de intervención'!K51</f>
        <v>94</v>
      </c>
      <c r="H51" s="687">
        <f>'[6]zona de intervención'!L51</f>
        <v>55959.63</v>
      </c>
      <c r="I51" s="686" t="str">
        <f>'[6]zona de intervención'!AR51</f>
        <v xml:space="preserve">En Ejecución: Se finalizaron los trabajos de la construcción  de dos reservorios: En Curiloma de 2.316 m³  y Guanto San Carlos de 3.348m³ para incrementar las áreas de riego a 290ha. y  fortalecer la seguridad alimentaria de 94 familias.
Los talleres  de  fortalecimiento de capacidades en cambio climático, género y soberanía alimentaria se ejecutaron con una participación de todos los beneficiarios. 
EL  socio ejecutor GADPP ha priorizado con la comunidad el incentivo  mediante talleres y reuniones. Se está diseñando  las especificaciones técnicas del incentivo.
</v>
      </c>
      <c r="J51" s="658" t="str">
        <f>'[6]zona de intervención'!D51</f>
        <v>GADPP</v>
      </c>
      <c r="K51" s="656">
        <f>'[6]zona de intervención'!W51</f>
        <v>42213</v>
      </c>
      <c r="L51" s="656">
        <f>'[6]zona de intervención'!Y51</f>
        <v>42292</v>
      </c>
      <c r="M51" s="657" t="str">
        <f>IF('[6]zona de intervención'!T51=1,"DONE",IF('[6]zona de intervención'!T51=0,"Without measure","In progress"))</f>
        <v>DONE</v>
      </c>
      <c r="N51" s="657" t="str">
        <f>IF('[6]zona de intervención'!U51=1,"DONE",IF('[6]zona de intervención'!U51=0,"Without measure","In progress"))</f>
        <v>DONE</v>
      </c>
      <c r="O51" s="657" t="str">
        <f>IF('[6]zona de intervención'!W51&gt;1/1/2014,"DONE","In progress")</f>
        <v>DONE</v>
      </c>
      <c r="P51" s="657" t="str">
        <f>IF('[6]zona de intervención'!AC51=1,"DONE",IF('[6]zona de intervención'!AC51=0,"Without measure","In progress"))</f>
        <v>DONE</v>
      </c>
      <c r="Q51" s="657" t="str">
        <f>IF('[6]zona de intervención'!AD51=1,"DONE",IF('[6]zona de intervención'!AD51=0,"Without measure","In progress"))</f>
        <v>DONE</v>
      </c>
      <c r="R51" s="657" t="str">
        <f>IF('[6]zona de intervención'!AE51=1,"DONE",IF('[6]zona de intervención'!AE51=0,"Without measure","In progress"))</f>
        <v>DONE</v>
      </c>
      <c r="S51" s="657" t="str">
        <f>IF('[6]zona de intervención'!AF51=1,"DONE",IF('[6]zona de intervención'!AF51=0,"Without measure","In progress"))</f>
        <v>DONE</v>
      </c>
      <c r="T51" s="657" t="str">
        <f>IF('[6]zona de intervención'!AG51=1,"DONE",IF('[6]zona de intervención'!AG51=0,"Without measure","In progress"))</f>
        <v>In progress</v>
      </c>
      <c r="U51" s="653"/>
    </row>
    <row r="52" spans="1:21" s="635" customFormat="1" ht="140" x14ac:dyDescent="0.35">
      <c r="B52" s="655">
        <f t="shared" si="1"/>
        <v>45</v>
      </c>
      <c r="C52" s="658" t="str">
        <f>'[6]zona de intervención'!B52</f>
        <v>PICHINCHA</v>
      </c>
      <c r="D52" s="660" t="str">
        <f>'[6]zona de intervención'!E52</f>
        <v>Ascázubi</v>
      </c>
      <c r="E52" s="662" t="s">
        <v>1078</v>
      </c>
      <c r="F52" s="658">
        <f>'[6]zona de intervención'!J52</f>
        <v>106</v>
      </c>
      <c r="G52" s="658">
        <f>'[6]zona de intervención'!K52</f>
        <v>106</v>
      </c>
      <c r="H52" s="687">
        <f>'[6]zona de intervención'!L52</f>
        <v>58893.78</v>
      </c>
      <c r="I52" s="686" t="str">
        <f>'[6]zona de intervención'!AR52</f>
        <v xml:space="preserve">En Cierre: Se finalizó la obra física de la medida de adaptación se instaló 2 Km de redes de distribución entubadas del canal de Riego el Pisque, para beneficiar a los barrios  Pro Mejoras Las Flores y El Carmen.  Se mejoró la calidad y cantidad de agua de riego  para 38,02 ha. Se fortaleció la seguridad  alimentaria de 106 familias.
El reglamento interno de la junta de regantes y el diseño de los turnos de distribución del agua de riego se encuentra legalizado debido a que pertenecen a un canal de riego. 
Los talleres  de  fortalecimiento de capacidades en cambio climático, género y soberanía alimentaria se ejecutaron con una participación de todos los beneficiarios. 
EL  socio ejecutor GADPP ha priorizado con la comunidad el incentivo  mediante talleres y reuniones. Se está diseñando  las especificaciones técnicas del incentivo.
</v>
      </c>
      <c r="J52" s="658" t="str">
        <f>'[6]zona de intervención'!D52</f>
        <v>GADPP</v>
      </c>
      <c r="K52" s="656" t="e">
        <f>'[6]zona de intervención'!#REF!</f>
        <v>#REF!</v>
      </c>
      <c r="L52" s="656">
        <f>'[6]zona de intervención'!W52</f>
        <v>42008</v>
      </c>
      <c r="M52" s="657" t="str">
        <f>IF('[6]zona de intervención'!T52=1,"DONE",IF('[6]zona de intervención'!T52=0,"Without measure","In progress"))</f>
        <v>DONE</v>
      </c>
      <c r="N52" s="657" t="str">
        <f>IF('[6]zona de intervención'!U52=1,"DONE",IF('[6]zona de intervención'!U52=0,"Without measure","In progress"))</f>
        <v>DONE</v>
      </c>
      <c r="O52" s="657" t="str">
        <f>IF('[6]zona de intervención'!W52&gt;1/1/2014,"DONE","In progress")</f>
        <v>DONE</v>
      </c>
      <c r="P52" s="657" t="str">
        <f>IF('[6]zona de intervención'!AC52=1,"DONE",IF('[6]zona de intervención'!AC52=0,"Without measure","In progress"))</f>
        <v>DONE</v>
      </c>
      <c r="Q52" s="657" t="str">
        <f>IF('[6]zona de intervención'!AD52=1,"DONE",IF('[6]zona de intervención'!AD52=0,"Without measure","In progress"))</f>
        <v>DONE</v>
      </c>
      <c r="R52" s="657" t="str">
        <f>IF('[6]zona de intervención'!AE52=1,"DONE",IF('[6]zona de intervención'!AE52=0,"Without measure","In progress"))</f>
        <v>DONE</v>
      </c>
      <c r="S52" s="657" t="str">
        <f>IF('[6]zona de intervención'!AF52=1,"DONE",IF('[6]zona de intervención'!AF52=0,"Without measure","In progress"))</f>
        <v>DONE</v>
      </c>
      <c r="T52" s="657" t="str">
        <f>IF('[6]zona de intervención'!AG52=1,"DONE",IF('[6]zona de intervención'!AG52=0,"Without measure","In progress"))</f>
        <v>In progress</v>
      </c>
      <c r="U52" s="653"/>
    </row>
    <row r="53" spans="1:21" s="635" customFormat="1" ht="112" x14ac:dyDescent="0.35">
      <c r="B53" s="655">
        <f t="shared" si="1"/>
        <v>46</v>
      </c>
      <c r="C53" s="658" t="str">
        <f>'[6]zona de intervención'!B53</f>
        <v>PICHINCHA</v>
      </c>
      <c r="D53" s="660" t="str">
        <f>'[6]zona de intervención'!E53</f>
        <v>Cayambe</v>
      </c>
      <c r="E53" s="660" t="s">
        <v>1180</v>
      </c>
      <c r="F53" s="658">
        <f>'[6]zona de intervención'!J53</f>
        <v>39</v>
      </c>
      <c r="G53" s="658">
        <f>'[6]zona de intervención'!K53</f>
        <v>39</v>
      </c>
      <c r="H53" s="687">
        <f>'[6]zona de intervención'!L53</f>
        <v>56479.63</v>
      </c>
      <c r="I53" s="686" t="str">
        <f>'[6]zona de intervención'!AR53</f>
        <v xml:space="preserve">En Implementación: Se  aprobó la medida de adaptación el 30 de abril del 2017 para la comunidad  de Ancholag, el sector Río Blanquillo se beneficiará  a 39 familias.  Se realizaron los dos reservorios de 1.050  y 3.060m3  y está en proceso la compra de los materiales para la impermeabilización de los reservorios.
Los talleres  de  fortalecimiento de capacidades en cambio climático, género y soberanía alimentaria se ejecutaron con una participación de todos los beneficiarios.
EL  socio ejecutor GADPP ha priorizado con la comunidad el incentivo  mediante talleres y reuniones. Se está diseñando  las especificaciones técnicas del incentivo.
</v>
      </c>
      <c r="J53" s="658" t="str">
        <f>'[6]zona de intervención'!D53</f>
        <v>GADPP</v>
      </c>
      <c r="K53" s="656">
        <f>'[6]zona de intervención'!W53</f>
        <v>42855</v>
      </c>
      <c r="L53" s="656">
        <f>'[6]zona de intervención'!Y53</f>
        <v>42855</v>
      </c>
      <c r="M53" s="657" t="str">
        <f>IF('[6]zona de intervención'!T53=1,"DONE",IF('[6]zona de intervención'!T53=0,"Without measure","In progress"))</f>
        <v>DONE</v>
      </c>
      <c r="N53" s="657" t="str">
        <f>IF('[6]zona de intervención'!U53=1,"DONE",IF('[6]zona de intervención'!U53=0,"Without measure","In progress"))</f>
        <v>DONE</v>
      </c>
      <c r="O53" s="657" t="str">
        <f>IF('[6]zona de intervención'!W53&gt;1/1/2014,"DONE","In progress")</f>
        <v>DONE</v>
      </c>
      <c r="P53" s="657" t="str">
        <f>IF('[6]zona de intervención'!AC53=1,"DONE",IF('[6]zona de intervención'!AC53=0,"Without measure","In progress"))</f>
        <v>DONE</v>
      </c>
      <c r="Q53" s="657" t="str">
        <f>IF('[6]zona de intervención'!AD53=1,"DONE",IF('[6]zona de intervención'!AD53=0,"Without measure","In progress"))</f>
        <v>DONE</v>
      </c>
      <c r="R53" s="657" t="str">
        <f>IF('[6]zona de intervención'!AE53=1,"DONE",IF('[6]zona de intervención'!AE53=0,"Without measure","In progress"))</f>
        <v>In progress</v>
      </c>
      <c r="S53" s="657" t="str">
        <f>IF('[6]zona de intervención'!AF53=1,"DONE",IF('[6]zona de intervención'!AF53=0,"Without measure","In progress"))</f>
        <v>In progress</v>
      </c>
      <c r="T53" s="657" t="str">
        <f>IF('[6]zona de intervención'!AG53=1,"DONE",IF('[6]zona de intervención'!AG53=0,"Without measure","In progress"))</f>
        <v>In progress</v>
      </c>
      <c r="U53" s="653"/>
    </row>
    <row r="54" spans="1:21" s="635" customFormat="1" ht="126" x14ac:dyDescent="0.35">
      <c r="B54" s="655">
        <f t="shared" si="1"/>
        <v>47</v>
      </c>
      <c r="C54" s="658" t="str">
        <f>'[6]zona de intervención'!B54</f>
        <v>PICHINCHA</v>
      </c>
      <c r="D54" s="660" t="str">
        <f>'[6]zona de intervención'!E54</f>
        <v>Juan Montalvo</v>
      </c>
      <c r="E54" s="662" t="s">
        <v>1075</v>
      </c>
      <c r="F54" s="658">
        <f>'[6]zona de intervención'!J54</f>
        <v>102</v>
      </c>
      <c r="G54" s="658">
        <f>'[6]zona de intervención'!K54</f>
        <v>110</v>
      </c>
      <c r="H54" s="687">
        <f>'[6]zona de intervención'!L54</f>
        <v>56566.89</v>
      </c>
      <c r="I54" s="686" t="str">
        <f>'[6]zona de intervención'!AR54</f>
        <v xml:space="preserve">En Implementación: Se finalizó la obra física de la medida de adaptación con la construcción de un reservorio   4.200m³  para se incrementará las áreas de riego  a 290 ha.  y  fortalecer la seguridad alimentaria de 102 familias. Se encuentra funcionando.
El reglamento interno de la junta de regantes y el diseño de los turnos de distribución del agua de riego se encuentra legalizado debido a que pertenecen a un canal de riego. 
Los talleres  de  fortalecimiento de capacidades en cambio climático, género y soberanía alimentaria se ejecutaron con una participación de todos los beneficiarios. 
EL  socio ejecutor GADPP ha priorizado con la comunidad el incentivo  mediante talleres y reuniones. Se está diseñando  las especificaciones técnicas del incentivo.
</v>
      </c>
      <c r="J54" s="658" t="str">
        <f>'[6]zona de intervención'!D54</f>
        <v>GADPP</v>
      </c>
      <c r="K54" s="656">
        <f>'[6]zona de intervención'!W54</f>
        <v>42359</v>
      </c>
      <c r="L54" s="656">
        <f>'[6]zona de intervención'!Y54</f>
        <v>42373</v>
      </c>
      <c r="M54" s="657" t="str">
        <f>IF('[6]zona de intervención'!T54=1,"DONE",IF('[6]zona de intervención'!T54=0,"Without measure","In progress"))</f>
        <v>DONE</v>
      </c>
      <c r="N54" s="657" t="str">
        <f>IF('[6]zona de intervención'!U54=1,"DONE",IF('[6]zona de intervención'!U54=0,"Without measure","In progress"))</f>
        <v>DONE</v>
      </c>
      <c r="O54" s="657" t="str">
        <f>IF('[6]zona de intervención'!W54&gt;1/1/2014,"DONE","In progress")</f>
        <v>DONE</v>
      </c>
      <c r="P54" s="657" t="str">
        <f>IF('[6]zona de intervención'!AC54=1,"DONE",IF('[6]zona de intervención'!AC54=0,"Without measure","In progress"))</f>
        <v>DONE</v>
      </c>
      <c r="Q54" s="657" t="str">
        <f>IF('[6]zona de intervención'!AD54=1,"DONE",IF('[6]zona de intervención'!AD54=0,"Without measure","In progress"))</f>
        <v>DONE</v>
      </c>
      <c r="R54" s="657" t="str">
        <f>IF('[6]zona de intervención'!AE54=1,"DONE",IF('[6]zona de intervención'!AE54=0,"Without measure","In progress"))</f>
        <v>DONE</v>
      </c>
      <c r="S54" s="657" t="str">
        <f>IF('[6]zona de intervención'!AF54=1,"DONE",IF('[6]zona de intervención'!AF54=0,"Without measure","In progress"))</f>
        <v>DONE</v>
      </c>
      <c r="T54" s="657" t="str">
        <f>IF('[6]zona de intervención'!AG54=1,"DONE",IF('[6]zona de intervención'!AG54=0,"Without measure","In progress"))</f>
        <v>In progress</v>
      </c>
      <c r="U54" s="653"/>
    </row>
    <row r="55" spans="1:21" s="635" customFormat="1" ht="126" x14ac:dyDescent="0.35">
      <c r="B55" s="655">
        <f t="shared" si="1"/>
        <v>48</v>
      </c>
      <c r="C55" s="658" t="str">
        <f>'[6]zona de intervención'!B55</f>
        <v>PICHINCHA</v>
      </c>
      <c r="D55" s="660" t="str">
        <f>'[6]zona de intervención'!E55</f>
        <v>Tabacundo</v>
      </c>
      <c r="E55" s="662" t="s">
        <v>1073</v>
      </c>
      <c r="F55" s="658">
        <f>'[6]zona de intervención'!J55</f>
        <v>296</v>
      </c>
      <c r="G55" s="658">
        <f>'[6]zona de intervención'!K55</f>
        <v>94</v>
      </c>
      <c r="H55" s="687">
        <f>'[6]zona de intervención'!L55</f>
        <v>54951</v>
      </c>
      <c r="I55" s="686" t="str">
        <f>'[6]zona de intervención'!AR55</f>
        <v xml:space="preserve">En implementación: Se finalizó la obra física de la medida de adaptación y se encuentra funcionando. Se construyó un reservorio  con capacidad de 20.000m³ para el riego 120ha y beneficiar a 206 familias.
Se encuentran en construcción  el reglamento interno de la junta de regantes y el  diseño de los turnos de distribución del agua de riego, existe un documento borrador.
Los talleres  de  fortalecimiento de capacidades en cambio climático, género y soberanía alimentaria se ejecutaron con una participación de todos los beneficiarios. 
EL  socio ejecutor GADPP ha priorizado con la comunidad el incentivo  mediante talleres y reuniones. Se está diseñando  las especificaciones técnicas del incentivo.
</v>
      </c>
      <c r="J55" s="658" t="str">
        <f>'[6]zona de intervención'!D55</f>
        <v>GADPP</v>
      </c>
      <c r="K55" s="656">
        <f>'[6]zona de intervención'!W55</f>
        <v>42012</v>
      </c>
      <c r="L55" s="656">
        <f>'[6]zona de intervención'!Y55</f>
        <v>42062</v>
      </c>
      <c r="M55" s="657" t="str">
        <f>IF('[6]zona de intervención'!T55=1,"DONE",IF('[6]zona de intervención'!T55=0,"Without measure","In progress"))</f>
        <v>DONE</v>
      </c>
      <c r="N55" s="657" t="str">
        <f>IF('[6]zona de intervención'!U55=1,"DONE",IF('[6]zona de intervención'!U55=0,"Without measure","In progress"))</f>
        <v>DONE</v>
      </c>
      <c r="O55" s="657" t="str">
        <f>IF('[6]zona de intervención'!W55&gt;1/1/2014,"DONE","In progress")</f>
        <v>DONE</v>
      </c>
      <c r="P55" s="657" t="str">
        <f>IF('[6]zona de intervención'!AC55=1,"DONE",IF('[6]zona de intervención'!AC55=0,"Without measure","In progress"))</f>
        <v>DONE</v>
      </c>
      <c r="Q55" s="657" t="str">
        <f>IF('[6]zona de intervención'!AD55=1,"DONE",IF('[6]zona de intervención'!AD55=0,"Without measure","In progress"))</f>
        <v>DONE</v>
      </c>
      <c r="R55" s="657" t="str">
        <f>IF('[6]zona de intervención'!AE55=1,"DONE",IF('[6]zona de intervención'!AE55=0,"Without measure","In progress"))</f>
        <v>DONE</v>
      </c>
      <c r="S55" s="657" t="str">
        <f>IF('[6]zona de intervención'!AF55=1,"DONE",IF('[6]zona de intervención'!AF55=0,"Without measure","In progress"))</f>
        <v>DONE</v>
      </c>
      <c r="T55" s="657" t="str">
        <f>IF('[6]zona de intervención'!AG55=1,"DONE",IF('[6]zona de intervención'!AG55=0,"Without measure","In progress"))</f>
        <v>In progress</v>
      </c>
      <c r="U55" s="653"/>
    </row>
    <row r="56" spans="1:21" s="635" customFormat="1" ht="126" x14ac:dyDescent="0.35">
      <c r="B56" s="655">
        <f t="shared" si="1"/>
        <v>49</v>
      </c>
      <c r="C56" s="658" t="str">
        <f>'[6]zona de intervención'!B56</f>
        <v>PICHINCHA</v>
      </c>
      <c r="D56" s="660" t="str">
        <f>'[6]zona de intervención'!E56</f>
        <v>La Esperanza</v>
      </c>
      <c r="E56" s="662" t="s">
        <v>1072</v>
      </c>
      <c r="F56" s="658">
        <f>'[6]zona de intervención'!J56</f>
        <v>206</v>
      </c>
      <c r="G56" s="658">
        <f>'[6]zona de intervención'!K56</f>
        <v>93</v>
      </c>
      <c r="H56" s="687">
        <f>'[6]zona de intervención'!L56</f>
        <v>56754.66</v>
      </c>
      <c r="I56" s="686" t="str">
        <f>'[6]zona de intervención'!AR56</f>
        <v xml:space="preserve">En implementación: Se  finalizó  la obra física de la medida de adaptación para asegurar la dotación de agua de riego de 206 familias, con un reservorio con capacidad de almacenamiento de  35.000m3  y  regar 142,44ha. 
Se encuentran en construcción  el reglamento interno de la junta de regantes y el  diseño de los turnos de distribución del agua de riego, existe un documento borrador.
Los talleres  de  fortalecimiento de capacidades en cambio climático, género y soberanía alimentaria se ejecutaron con una participación de todos los beneficiarios. 
EL  socio ejecutor GADPP ha priorizado con la comunidad el incentivo  mediante talleres y reuniones. Se está diseñando  las especificaciones técnicas del incentivo.
</v>
      </c>
      <c r="J56" s="658" t="str">
        <f>'[6]zona de intervención'!D56</f>
        <v>GADPP</v>
      </c>
      <c r="K56" s="656">
        <f>'[6]zona de intervención'!W56</f>
        <v>41968</v>
      </c>
      <c r="L56" s="656">
        <f>'[6]zona de intervención'!Y56</f>
        <v>42062</v>
      </c>
      <c r="M56" s="657" t="str">
        <f>IF('[6]zona de intervención'!T56=1,"DONE",IF('[6]zona de intervención'!T56=0,"Without measure","In progress"))</f>
        <v>DONE</v>
      </c>
      <c r="N56" s="657" t="str">
        <f>IF('[6]zona de intervención'!U56=1,"DONE",IF('[6]zona de intervención'!U56=0,"Without measure","In progress"))</f>
        <v>DONE</v>
      </c>
      <c r="O56" s="657" t="str">
        <f>IF('[6]zona de intervención'!W56&gt;1/1/2014,"DONE","In progress")</f>
        <v>DONE</v>
      </c>
      <c r="P56" s="657" t="str">
        <f>IF('[6]zona de intervención'!AC56=1,"DONE",IF('[6]zona de intervención'!AC56=0,"Without measure","In progress"))</f>
        <v>DONE</v>
      </c>
      <c r="Q56" s="657" t="str">
        <f>IF('[6]zona de intervención'!AD56=1,"DONE",IF('[6]zona de intervención'!AD56=0,"Without measure","In progress"))</f>
        <v>DONE</v>
      </c>
      <c r="R56" s="657" t="str">
        <f>IF('[6]zona de intervención'!AE56=1,"DONE",IF('[6]zona de intervención'!AE56=0,"Without measure","In progress"))</f>
        <v>DONE</v>
      </c>
      <c r="S56" s="657" t="str">
        <f>IF('[6]zona de intervención'!AF56=1,"DONE",IF('[6]zona de intervención'!AF56=0,"Without measure","In progress"))</f>
        <v>DONE</v>
      </c>
      <c r="T56" s="657" t="str">
        <f>IF('[6]zona de intervención'!AG56=1,"DONE",IF('[6]zona de intervención'!AG56=0,"Without measure","In progress"))</f>
        <v>In progress</v>
      </c>
      <c r="U56" s="653"/>
    </row>
    <row r="57" spans="1:21" s="635" customFormat="1" ht="140" x14ac:dyDescent="0.35">
      <c r="B57" s="655">
        <f t="shared" si="1"/>
        <v>50</v>
      </c>
      <c r="C57" s="658" t="str">
        <f>'[6]zona de intervención'!B57</f>
        <v>PICHINCHA</v>
      </c>
      <c r="D57" s="660" t="str">
        <f>'[6]zona de intervención'!E57</f>
        <v>Malchingui</v>
      </c>
      <c r="E57" s="662" t="s">
        <v>1070</v>
      </c>
      <c r="F57" s="658">
        <f>'[6]zona de intervención'!J57</f>
        <v>44</v>
      </c>
      <c r="G57" s="658">
        <f>'[6]zona de intervención'!K57</f>
        <v>44</v>
      </c>
      <c r="H57" s="687">
        <f>'[6]zona de intervención'!L57</f>
        <v>48402.94</v>
      </c>
      <c r="I57" s="686" t="str">
        <f>'[6]zona de intervención'!AR57</f>
        <v xml:space="preserve">En implementación: Se finalizó la obra física de la medida de adaptación  y se encuentra en funcionamiento, se asegurando la dotación de agua de riego con la construcción de dos reservorios que almacenan 2.400 m3 para regar 30Ha.
Se fortaleció la seguridad  alimentaria de 44 familias.
El reglamento interno de la junta de regantes y el diseño de los turnos de distribución del agua de riego se inició la construcción en Abril 2016, se halla pendiente por cambios de autoridades  comunales.                                                                      
Los talleres  de  fortalecimiento de capacidades en cambio climático, género y soberanía alimentaria se ejecutaron con una participación de todos los beneficiarios. 
EL  socio ejecutor GADPP ha priorizado con la comunidad el incentivo  mediante talleres y reuniones. Se está diseñando  las especificaciones técnicas del incentivo.
</v>
      </c>
      <c r="J57" s="658" t="str">
        <f>'[6]zona de intervención'!D57</f>
        <v>GADPP</v>
      </c>
      <c r="K57" s="656">
        <f>'[6]zona de intervención'!W57</f>
        <v>42080</v>
      </c>
      <c r="L57" s="656">
        <f>'[6]zona de intervención'!Y57</f>
        <v>42144</v>
      </c>
      <c r="M57" s="657" t="str">
        <f>IF('[6]zona de intervención'!T57=1,"DONE",IF('[6]zona de intervención'!T57=0,"Without measure","In progress"))</f>
        <v>DONE</v>
      </c>
      <c r="N57" s="657" t="str">
        <f>IF('[6]zona de intervención'!U57=1,"DONE",IF('[6]zona de intervención'!U57=0,"Without measure","In progress"))</f>
        <v>DONE</v>
      </c>
      <c r="O57" s="657" t="str">
        <f>IF('[6]zona de intervención'!W57&gt;1/1/2014,"DONE","In progress")</f>
        <v>DONE</v>
      </c>
      <c r="P57" s="657" t="str">
        <f>IF('[6]zona de intervención'!AC57=1,"DONE",IF('[6]zona de intervención'!AC57=0,"Without measure","In progress"))</f>
        <v>DONE</v>
      </c>
      <c r="Q57" s="657" t="str">
        <f>IF('[6]zona de intervención'!AD57=1,"DONE",IF('[6]zona de intervención'!AD57=0,"Without measure","In progress"))</f>
        <v>DONE</v>
      </c>
      <c r="R57" s="657" t="str">
        <f>IF('[6]zona de intervención'!AE57=1,"DONE",IF('[6]zona de intervención'!AE57=0,"Without measure","In progress"))</f>
        <v>DONE</v>
      </c>
      <c r="S57" s="657" t="str">
        <f>IF('[6]zona de intervención'!AF57=1,"DONE",IF('[6]zona de intervención'!AF57=0,"Without measure","In progress"))</f>
        <v>DONE</v>
      </c>
      <c r="T57" s="657" t="str">
        <f>IF('[6]zona de intervención'!AG57=1,"DONE",IF('[6]zona de intervención'!AG57=0,"Without measure","In progress"))</f>
        <v>In progress</v>
      </c>
      <c r="U57" s="653"/>
    </row>
    <row r="58" spans="1:21" s="635" customFormat="1" ht="151.5" customHeight="1" x14ac:dyDescent="0.35">
      <c r="B58" s="655">
        <f t="shared" si="1"/>
        <v>51</v>
      </c>
      <c r="C58" s="658" t="str">
        <f>'[6]zona de intervención'!B58</f>
        <v>PICHINCHA</v>
      </c>
      <c r="D58" s="660" t="str">
        <f>'[6]zona de intervención'!E58</f>
        <v>Tocachi</v>
      </c>
      <c r="E58" s="660" t="s">
        <v>1179</v>
      </c>
      <c r="F58" s="658">
        <f>'[6]zona de intervención'!J58</f>
        <v>66</v>
      </c>
      <c r="G58" s="658">
        <f>'[6]zona de intervención'!K58</f>
        <v>66</v>
      </c>
      <c r="H58" s="687">
        <f>'[6]zona de intervención'!L58</f>
        <v>55288.73</v>
      </c>
      <c r="I58" s="686" t="str">
        <f>'[6]zona de intervención'!AR58</f>
        <v xml:space="preserve">En Implementación: La medida de adaptación  fue diseñada por el equipo técnico del GADPP y  lo presentó para la aprobación al Comité Directivo Nacional.  Se aprobó el nuevo proyecto de medida y se inició los procesos de implementación.
Se realizará un reservorio de 5000m3 y colocación de 3.9 Km de tubería  para asegura la alimentación de 66 familias.
El GADPP se encuentra realizando los requerimientos de las compras de los materiales y  un cronograma de ejecución de talleres.
Se realizó el taller de arranque de la Medida de Adaptación y  seleccionó el incentivo para las familias.
</v>
      </c>
      <c r="J58" s="658" t="str">
        <f>'[6]zona de intervención'!D58</f>
        <v>GADPP</v>
      </c>
      <c r="K58" s="656">
        <f>'[6]zona de intervención'!W58</f>
        <v>42956</v>
      </c>
      <c r="L58" s="656">
        <f>'[6]zona de intervención'!Y58</f>
        <v>42957</v>
      </c>
      <c r="M58" s="657" t="str">
        <f>IF('[6]zona de intervención'!T58=1,"DONE",IF('[6]zona de intervención'!T58=0,"Without measure","In progress"))</f>
        <v>DONE</v>
      </c>
      <c r="N58" s="657" t="str">
        <f>IF('[6]zona de intervención'!U58=1,"DONE",IF('[6]zona de intervención'!U58=0,"Without measure","In progress"))</f>
        <v>DONE</v>
      </c>
      <c r="O58" s="657" t="str">
        <f>IF('[6]zona de intervención'!W58&gt;1/1/2014,"DONE","In progress")</f>
        <v>DONE</v>
      </c>
      <c r="P58" s="657" t="str">
        <f>IF('[6]zona de intervención'!AC58=1,"DONE",IF('[6]zona de intervención'!AC58=0,"Without measure","In progress"))</f>
        <v>DONE</v>
      </c>
      <c r="Q58" s="657" t="str">
        <f>IF('[6]zona de intervención'!AD58=1,"DONE",IF('[6]zona de intervención'!AD58=0,"Without measure","In progress"))</f>
        <v>DONE</v>
      </c>
      <c r="R58" s="657" t="str">
        <f>IF('[6]zona de intervención'!AE58=1,"DONE",IF('[6]zona de intervención'!AE58=0,"Without measure","In progress"))</f>
        <v>In progress</v>
      </c>
      <c r="S58" s="657" t="str">
        <f>IF('[6]zona de intervención'!AF58=1,"DONE",IF('[6]zona de intervención'!AF58=0,"Without measure","In progress"))</f>
        <v>In progress</v>
      </c>
      <c r="T58" s="657" t="str">
        <f>IF('[6]zona de intervención'!AG58=1,"DONE",IF('[6]zona de intervención'!AG58=0,"Without measure","In progress"))</f>
        <v>In progress</v>
      </c>
      <c r="U58" s="653"/>
    </row>
    <row r="59" spans="1:21" s="635" customFormat="1" ht="153.75" customHeight="1" x14ac:dyDescent="0.35">
      <c r="B59" s="655">
        <f t="shared" si="1"/>
        <v>52</v>
      </c>
      <c r="C59" s="658" t="str">
        <f>'[6]zona de intervención'!B59</f>
        <v>PICHINCHA</v>
      </c>
      <c r="D59" s="660" t="str">
        <f>'[6]zona de intervención'!E59</f>
        <v>Tupigachi</v>
      </c>
      <c r="E59" s="660" t="s">
        <v>1178</v>
      </c>
      <c r="F59" s="658">
        <f>'[6]zona de intervención'!J59</f>
        <v>50</v>
      </c>
      <c r="G59" s="658">
        <f>'[6]zona de intervención'!K59</f>
        <v>50</v>
      </c>
      <c r="H59" s="687">
        <f>'[6]zona de intervención'!L59</f>
        <v>49972.66</v>
      </c>
      <c r="I59" s="686" t="str">
        <f>'[6]zona de intervención'!AR59</f>
        <v xml:space="preserve">En implementación: Se aprobó la medida de adaptación para la comunidad la Florencia y  fue probada  el 30 de abril del 2017 por los miembros del Comité Técnico se beneficiarán 50 familias.  Se construyeron dos reservorios  de  2.200 y 1.800m3 y está en proceso la compra de los materiales para la impermeabilización de los reservorios. 
EL  socio ejecutor GADPP ha priorizado con la comunidad el incentivo  mediante talleres y reuniones. Se está diseñando  las especificaciones técnicas del incentivo.
</v>
      </c>
      <c r="J59" s="658" t="str">
        <f>'[6]zona de intervención'!D59</f>
        <v>GADPP</v>
      </c>
      <c r="K59" s="656">
        <f>'[6]zona de intervención'!W59</f>
        <v>42857</v>
      </c>
      <c r="L59" s="656">
        <f>'[6]zona de intervención'!Y59</f>
        <v>42855</v>
      </c>
      <c r="M59" s="657" t="str">
        <f>IF('[6]zona de intervención'!T59=1,"DONE",IF('[6]zona de intervención'!T59=0,"Without measure","In progress"))</f>
        <v>DONE</v>
      </c>
      <c r="N59" s="657" t="str">
        <f>IF('[6]zona de intervención'!U59=1,"DONE",IF('[6]zona de intervención'!U59=0,"Without measure","In progress"))</f>
        <v>DONE</v>
      </c>
      <c r="O59" s="657" t="str">
        <f>IF('[6]zona de intervención'!W59&gt;1/1/2014,"DONE","In progress")</f>
        <v>DONE</v>
      </c>
      <c r="P59" s="657" t="str">
        <f>IF('[6]zona de intervención'!AC59=1,"DONE",IF('[6]zona de intervención'!AC59=0,"Without measure","In progress"))</f>
        <v>DONE</v>
      </c>
      <c r="Q59" s="657" t="str">
        <f>IF('[6]zona de intervención'!AD59=1,"DONE",IF('[6]zona de intervención'!AD59=0,"Without measure","In progress"))</f>
        <v>DONE</v>
      </c>
      <c r="R59" s="657" t="str">
        <f>IF('[6]zona de intervención'!AE59=1,"DONE",IF('[6]zona de intervención'!AE59=0,"Without measure","In progress"))</f>
        <v>DONE</v>
      </c>
      <c r="S59" s="657" t="str">
        <f>IF('[6]zona de intervención'!AF59=1,"DONE",IF('[6]zona de intervención'!AF59=0,"Without measure","In progress"))</f>
        <v>In progress</v>
      </c>
      <c r="T59" s="657" t="str">
        <f>IF('[6]zona de intervención'!AG59=1,"DONE",IF('[6]zona de intervención'!AG59=0,"Without measure","In progress"))</f>
        <v>In progress</v>
      </c>
      <c r="U59" s="653"/>
    </row>
    <row r="60" spans="1:21" s="635" customFormat="1" x14ac:dyDescent="0.35">
      <c r="B60" s="655"/>
      <c r="D60" s="645"/>
      <c r="E60" s="645"/>
      <c r="H60" s="646"/>
      <c r="I60" s="645"/>
      <c r="K60" s="644"/>
      <c r="L60" s="656"/>
      <c r="U60" s="653"/>
    </row>
    <row r="61" spans="1:21" s="635" customFormat="1" ht="14.5" thickBot="1" x14ac:dyDescent="0.4">
      <c r="B61" s="652"/>
      <c r="C61" s="648"/>
      <c r="D61" s="650"/>
      <c r="E61" s="650"/>
      <c r="F61" s="648"/>
      <c r="G61" s="648"/>
      <c r="H61" s="651"/>
      <c r="I61" s="650"/>
      <c r="J61" s="648"/>
      <c r="K61" s="649"/>
      <c r="L61" s="648"/>
      <c r="M61" s="648"/>
      <c r="N61" s="648"/>
      <c r="O61" s="648"/>
      <c r="P61" s="648"/>
      <c r="Q61" s="648"/>
      <c r="R61" s="648"/>
      <c r="S61" s="648"/>
      <c r="T61" s="648"/>
      <c r="U61" s="647"/>
    </row>
    <row r="62" spans="1:21" s="641" customFormat="1" ht="15.5" x14ac:dyDescent="0.3">
      <c r="C62" s="941" t="s">
        <v>1066</v>
      </c>
      <c r="D62" s="645"/>
      <c r="E62" s="645"/>
      <c r="F62" s="635"/>
      <c r="G62" s="635"/>
      <c r="H62" s="646"/>
      <c r="I62" s="645"/>
      <c r="J62" s="635"/>
      <c r="K62" s="644"/>
    </row>
    <row r="63" spans="1:21" s="641" customFormat="1" ht="15.5" x14ac:dyDescent="0.35">
      <c r="D63" s="643"/>
      <c r="E63" s="643"/>
      <c r="I63" s="642" t="s">
        <v>1177</v>
      </c>
      <c r="J63" s="684">
        <f>COUNTIF(J8:J59,"CCRJ")</f>
        <v>6</v>
      </c>
      <c r="K63" s="685" t="s">
        <v>1107</v>
      </c>
    </row>
    <row r="64" spans="1:21" ht="15" customHeight="1" x14ac:dyDescent="0.3">
      <c r="A64" s="639"/>
      <c r="B64" s="639"/>
      <c r="C64" s="639"/>
      <c r="D64" s="1406"/>
      <c r="I64" s="640"/>
      <c r="J64" s="684">
        <f>COUNTIF(J8:J59,"MAE")</f>
        <v>33</v>
      </c>
      <c r="K64" s="683" t="s">
        <v>1090</v>
      </c>
    </row>
    <row r="65" spans="1:21" x14ac:dyDescent="0.3">
      <c r="A65" s="639"/>
      <c r="C65" s="639"/>
      <c r="D65" s="1406"/>
      <c r="I65" s="640"/>
      <c r="J65" s="684">
        <f>COUNTIF(J8:J59,"GADPP")</f>
        <v>13</v>
      </c>
      <c r="K65" s="683" t="s">
        <v>1176</v>
      </c>
      <c r="U65" s="639"/>
    </row>
    <row r="66" spans="1:21" x14ac:dyDescent="0.3">
      <c r="A66" s="639"/>
      <c r="C66" s="639"/>
      <c r="D66" s="1406"/>
      <c r="U66" s="639"/>
    </row>
    <row r="67" spans="1:21" s="637" customFormat="1" x14ac:dyDescent="0.3">
      <c r="D67" s="1406"/>
      <c r="E67" s="638"/>
      <c r="I67" s="638"/>
      <c r="J67" s="637">
        <f>SUM(J63:J66)</f>
        <v>52</v>
      </c>
    </row>
    <row r="68" spans="1:21" x14ac:dyDescent="0.3">
      <c r="D68" s="1406"/>
    </row>
  </sheetData>
  <mergeCells count="12">
    <mergeCell ref="D64:D68"/>
    <mergeCell ref="K5:L5"/>
    <mergeCell ref="M5:T5"/>
    <mergeCell ref="C3:T3"/>
    <mergeCell ref="C5:C6"/>
    <mergeCell ref="D5:D6"/>
    <mergeCell ref="E5:E6"/>
    <mergeCell ref="F5:F6"/>
    <mergeCell ref="G5:G6"/>
    <mergeCell ref="H5:H6"/>
    <mergeCell ref="I5:I6"/>
    <mergeCell ref="J5:J6"/>
  </mergeCells>
  <conditionalFormatting sqref="M8:T59">
    <cfRule type="containsText" dxfId="32" priority="1" operator="containsText" text="In progress">
      <formula>NOT(ISERROR(SEARCH("In progress",M8)))</formula>
    </cfRule>
    <cfRule type="containsText" dxfId="31" priority="2" operator="containsText" text="Done">
      <formula>NOT(ISERROR(SEARCH("Done",M8)))</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E29"/>
  <sheetViews>
    <sheetView zoomScale="80" zoomScaleNormal="80" workbookViewId="0">
      <selection activeCell="C1" sqref="C1"/>
    </sheetView>
  </sheetViews>
  <sheetFormatPr defaultColWidth="9.08984375" defaultRowHeight="14" x14ac:dyDescent="0.3"/>
  <cols>
    <col min="1" max="1" width="1.36328125" style="13" customWidth="1"/>
    <col min="2" max="2" width="2" style="13" customWidth="1"/>
    <col min="3" max="3" width="43" style="13" customWidth="1"/>
    <col min="4" max="4" width="188.36328125" style="13" customWidth="1"/>
    <col min="5" max="5" width="2.453125" style="13" customWidth="1"/>
    <col min="6" max="6" width="1.453125" style="13" customWidth="1"/>
    <col min="7" max="16384" width="9.08984375" style="13"/>
  </cols>
  <sheetData>
    <row r="1" spans="2:5" ht="14.5" thickBot="1" x14ac:dyDescent="0.35"/>
    <row r="2" spans="2:5" ht="14.5" thickBot="1" x14ac:dyDescent="0.35">
      <c r="B2" s="69"/>
      <c r="C2" s="38"/>
      <c r="D2" s="38"/>
      <c r="E2" s="39"/>
    </row>
    <row r="3" spans="2:5" ht="14.5" thickBot="1" x14ac:dyDescent="0.35">
      <c r="B3" s="70"/>
      <c r="C3" s="1414" t="s">
        <v>1533</v>
      </c>
      <c r="D3" s="1415"/>
      <c r="E3" s="912"/>
    </row>
    <row r="4" spans="2:5" x14ac:dyDescent="0.3">
      <c r="B4" s="70"/>
      <c r="C4" s="919"/>
      <c r="D4" s="919"/>
      <c r="E4" s="912"/>
    </row>
    <row r="5" spans="2:5" ht="14.5" thickBot="1" x14ac:dyDescent="0.35">
      <c r="B5" s="70"/>
      <c r="C5" s="928" t="s">
        <v>1532</v>
      </c>
      <c r="D5" s="919"/>
      <c r="E5" s="912"/>
    </row>
    <row r="6" spans="2:5" ht="14.5" thickBot="1" x14ac:dyDescent="0.35">
      <c r="B6" s="70"/>
      <c r="C6" s="927" t="s">
        <v>1531</v>
      </c>
      <c r="D6" s="926" t="s">
        <v>1524</v>
      </c>
      <c r="E6" s="912"/>
    </row>
    <row r="7" spans="2:5" ht="310.5" customHeight="1" thickBot="1" x14ac:dyDescent="0.35">
      <c r="B7" s="70"/>
      <c r="C7" s="925" t="s">
        <v>1530</v>
      </c>
      <c r="D7" s="924" t="s">
        <v>1629</v>
      </c>
      <c r="E7" s="912"/>
    </row>
    <row r="8" spans="2:5" ht="138.75" customHeight="1" thickBot="1" x14ac:dyDescent="0.35">
      <c r="B8" s="70"/>
      <c r="C8" s="923" t="s">
        <v>1529</v>
      </c>
      <c r="D8" s="922" t="s">
        <v>1580</v>
      </c>
      <c r="E8" s="912"/>
    </row>
    <row r="9" spans="2:5" ht="70.5" thickBot="1" x14ac:dyDescent="0.35">
      <c r="B9" s="70"/>
      <c r="C9" s="914" t="s">
        <v>1528</v>
      </c>
      <c r="D9" s="921" t="s">
        <v>1581</v>
      </c>
      <c r="E9" s="912"/>
    </row>
    <row r="10" spans="2:5" ht="180" customHeight="1" thickBot="1" x14ac:dyDescent="0.35">
      <c r="B10" s="70"/>
      <c r="C10" s="920" t="s">
        <v>1527</v>
      </c>
      <c r="D10" s="959" t="s">
        <v>1630</v>
      </c>
      <c r="E10" s="912"/>
    </row>
    <row r="11" spans="2:5" x14ac:dyDescent="0.3">
      <c r="B11" s="70"/>
      <c r="C11" s="919"/>
      <c r="D11" s="919"/>
      <c r="E11" s="912"/>
    </row>
    <row r="12" spans="2:5" ht="14.5" thickBot="1" x14ac:dyDescent="0.35">
      <c r="B12" s="70"/>
      <c r="C12" s="1416" t="s">
        <v>1526</v>
      </c>
      <c r="D12" s="1416"/>
      <c r="E12" s="912"/>
    </row>
    <row r="13" spans="2:5" ht="14.5" thickBot="1" x14ac:dyDescent="0.35">
      <c r="B13" s="70"/>
      <c r="C13" s="918" t="s">
        <v>1525</v>
      </c>
      <c r="D13" s="918" t="s">
        <v>1524</v>
      </c>
      <c r="E13" s="912"/>
    </row>
    <row r="14" spans="2:5" ht="14.5" thickBot="1" x14ac:dyDescent="0.35">
      <c r="B14" s="70"/>
      <c r="C14" s="1412" t="s">
        <v>1523</v>
      </c>
      <c r="D14" s="1413"/>
      <c r="E14" s="912"/>
    </row>
    <row r="15" spans="2:5" ht="258" customHeight="1" thickBot="1" x14ac:dyDescent="0.35">
      <c r="B15" s="70"/>
      <c r="C15" s="914" t="s">
        <v>1522</v>
      </c>
      <c r="D15" s="960" t="s">
        <v>1631</v>
      </c>
      <c r="E15" s="912"/>
    </row>
    <row r="16" spans="2:5" ht="75.75" customHeight="1" thickBot="1" x14ac:dyDescent="0.35">
      <c r="B16" s="70"/>
      <c r="C16" s="914" t="s">
        <v>1521</v>
      </c>
      <c r="D16" s="915" t="s">
        <v>1582</v>
      </c>
      <c r="E16" s="912"/>
    </row>
    <row r="17" spans="2:5" ht="14.5" thickBot="1" x14ac:dyDescent="0.35">
      <c r="B17" s="70"/>
      <c r="C17" s="1412" t="s">
        <v>1520</v>
      </c>
      <c r="D17" s="1413"/>
      <c r="E17" s="912"/>
    </row>
    <row r="18" spans="2:5" ht="187.5" customHeight="1" thickBot="1" x14ac:dyDescent="0.35">
      <c r="B18" s="70"/>
      <c r="C18" s="914" t="s">
        <v>1519</v>
      </c>
      <c r="D18" s="917" t="s">
        <v>1583</v>
      </c>
      <c r="E18" s="912"/>
    </row>
    <row r="19" spans="2:5" ht="81.75" customHeight="1" thickBot="1" x14ac:dyDescent="0.35">
      <c r="B19" s="70"/>
      <c r="C19" s="914" t="s">
        <v>1518</v>
      </c>
      <c r="D19" s="917" t="s">
        <v>1584</v>
      </c>
      <c r="E19" s="912"/>
    </row>
    <row r="20" spans="2:5" ht="14.5" thickBot="1" x14ac:dyDescent="0.35">
      <c r="B20" s="70"/>
      <c r="C20" s="1412" t="s">
        <v>1517</v>
      </c>
      <c r="D20" s="1413"/>
      <c r="E20" s="912"/>
    </row>
    <row r="21" spans="2:5" ht="114" customHeight="1" thickBot="1" x14ac:dyDescent="0.35">
      <c r="B21" s="70"/>
      <c r="C21" s="914" t="s">
        <v>1516</v>
      </c>
      <c r="D21" s="914" t="s">
        <v>1585</v>
      </c>
      <c r="E21" s="912"/>
    </row>
    <row r="22" spans="2:5" ht="84.5" thickBot="1" x14ac:dyDescent="0.35">
      <c r="B22" s="70"/>
      <c r="C22" s="914" t="s">
        <v>1515</v>
      </c>
      <c r="D22" s="914" t="s">
        <v>1586</v>
      </c>
      <c r="E22" s="912"/>
    </row>
    <row r="23" spans="2:5" ht="41.25" customHeight="1" thickBot="1" x14ac:dyDescent="0.35">
      <c r="B23" s="70"/>
      <c r="C23" s="914" t="s">
        <v>1514</v>
      </c>
      <c r="D23" s="914" t="s">
        <v>1513</v>
      </c>
      <c r="E23" s="912"/>
    </row>
    <row r="24" spans="2:5" ht="14.5" thickBot="1" x14ac:dyDescent="0.35">
      <c r="B24" s="70"/>
      <c r="C24" s="1412" t="s">
        <v>1512</v>
      </c>
      <c r="D24" s="1413"/>
      <c r="E24" s="912"/>
    </row>
    <row r="25" spans="2:5" ht="56.5" thickBot="1" x14ac:dyDescent="0.35">
      <c r="B25" s="70"/>
      <c r="C25" s="914" t="s">
        <v>1511</v>
      </c>
      <c r="D25" s="916" t="s">
        <v>1587</v>
      </c>
      <c r="E25" s="912"/>
    </row>
    <row r="26" spans="2:5" ht="48" customHeight="1" thickBot="1" x14ac:dyDescent="0.35">
      <c r="B26" s="70"/>
      <c r="C26" s="914" t="s">
        <v>1510</v>
      </c>
      <c r="D26" s="915" t="s">
        <v>1588</v>
      </c>
      <c r="E26" s="912"/>
    </row>
    <row r="27" spans="2:5" ht="83.25" customHeight="1" thickBot="1" x14ac:dyDescent="0.35">
      <c r="B27" s="70"/>
      <c r="C27" s="914" t="s">
        <v>1509</v>
      </c>
      <c r="D27" s="915" t="s">
        <v>1589</v>
      </c>
      <c r="E27" s="912"/>
    </row>
    <row r="28" spans="2:5" ht="42.5" thickBot="1" x14ac:dyDescent="0.35">
      <c r="B28" s="70"/>
      <c r="C28" s="914" t="s">
        <v>1508</v>
      </c>
      <c r="D28" s="913" t="s">
        <v>1590</v>
      </c>
      <c r="E28" s="912"/>
    </row>
    <row r="29" spans="2:5" ht="14.5" thickBot="1" x14ac:dyDescent="0.35">
      <c r="B29" s="911"/>
      <c r="C29" s="910"/>
      <c r="D29" s="910"/>
      <c r="E29" s="909"/>
    </row>
  </sheetData>
  <mergeCells count="6">
    <mergeCell ref="C24:D24"/>
    <mergeCell ref="C3:D3"/>
    <mergeCell ref="C12:D12"/>
    <mergeCell ref="C14:D14"/>
    <mergeCell ref="C17:D17"/>
    <mergeCell ref="C20:D20"/>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sheetPr>
  <dimension ref="A1:IQ34"/>
  <sheetViews>
    <sheetView topLeftCell="D1" zoomScale="110" zoomScaleNormal="110" workbookViewId="0">
      <selection sqref="A1:I1"/>
    </sheetView>
  </sheetViews>
  <sheetFormatPr defaultColWidth="10.90625" defaultRowHeight="10.5" x14ac:dyDescent="0.35"/>
  <cols>
    <col min="1" max="1" width="5" style="709" customWidth="1"/>
    <col min="2" max="2" width="13" style="691" customWidth="1"/>
    <col min="3" max="3" width="10.90625" style="691" customWidth="1"/>
    <col min="4" max="4" width="14.36328125" style="691" customWidth="1"/>
    <col min="5" max="5" width="19.6328125" style="691" customWidth="1"/>
    <col min="6" max="6" width="13.54296875" style="691" customWidth="1"/>
    <col min="7" max="7" width="10.90625" style="691" hidden="1" customWidth="1"/>
    <col min="8" max="8" width="75" style="710" customWidth="1"/>
    <col min="9" max="9" width="40.54296875" style="711" customWidth="1"/>
    <col min="10" max="10" width="25.90625" style="691" customWidth="1"/>
    <col min="11" max="251" width="10.90625" style="691" customWidth="1"/>
    <col min="252" max="16384" width="10.90625" style="712"/>
  </cols>
  <sheetData>
    <row r="1" spans="1:12" ht="40.5" customHeight="1" x14ac:dyDescent="0.3">
      <c r="A1" s="1417" t="s">
        <v>1189</v>
      </c>
      <c r="B1" s="1418"/>
      <c r="C1" s="1418"/>
      <c r="D1" s="1418"/>
      <c r="E1" s="1418"/>
      <c r="F1" s="1418"/>
      <c r="G1" s="1418"/>
      <c r="H1" s="1418"/>
      <c r="I1" s="1418"/>
    </row>
    <row r="2" spans="1:12" x14ac:dyDescent="0.35">
      <c r="A2" s="692" t="s">
        <v>1190</v>
      </c>
      <c r="B2" s="693" t="s">
        <v>1191</v>
      </c>
      <c r="C2" s="694" t="s">
        <v>1192</v>
      </c>
      <c r="D2" s="693" t="s">
        <v>1193</v>
      </c>
      <c r="E2" s="693" t="s">
        <v>1194</v>
      </c>
      <c r="F2" s="693" t="s">
        <v>1195</v>
      </c>
      <c r="G2" s="693" t="s">
        <v>1196</v>
      </c>
      <c r="H2" s="693" t="s">
        <v>1197</v>
      </c>
      <c r="I2" s="693" t="s">
        <v>1198</v>
      </c>
      <c r="J2" s="695"/>
    </row>
    <row r="3" spans="1:12" ht="52" x14ac:dyDescent="0.35">
      <c r="A3" s="696" t="s">
        <v>1199</v>
      </c>
      <c r="B3" s="697" t="s">
        <v>1200</v>
      </c>
      <c r="C3" s="697" t="s">
        <v>1201</v>
      </c>
      <c r="D3" s="697" t="s">
        <v>1202</v>
      </c>
      <c r="E3" s="697" t="s">
        <v>1203</v>
      </c>
      <c r="F3" s="697" t="s">
        <v>1204</v>
      </c>
      <c r="G3" s="697" t="s">
        <v>1205</v>
      </c>
      <c r="H3" s="698" t="s">
        <v>1591</v>
      </c>
      <c r="I3" s="697" t="s">
        <v>1206</v>
      </c>
      <c r="J3" s="695"/>
    </row>
    <row r="4" spans="1:12" ht="88.5" customHeight="1" x14ac:dyDescent="0.35">
      <c r="A4" s="699">
        <f>A3+1</f>
        <v>2</v>
      </c>
      <c r="B4" s="697">
        <v>42736</v>
      </c>
      <c r="C4" s="696" t="s">
        <v>1201</v>
      </c>
      <c r="D4" s="697" t="s">
        <v>1202</v>
      </c>
      <c r="E4" s="696" t="s">
        <v>1203</v>
      </c>
      <c r="F4" s="697" t="s">
        <v>1207</v>
      </c>
      <c r="G4" s="700" t="s">
        <v>1208</v>
      </c>
      <c r="H4" s="698" t="s">
        <v>1592</v>
      </c>
      <c r="I4" s="701" t="s">
        <v>1209</v>
      </c>
      <c r="L4" s="702"/>
    </row>
    <row r="5" spans="1:12" ht="45" customHeight="1" x14ac:dyDescent="0.35">
      <c r="A5" s="699">
        <f t="shared" ref="A5:A34" si="0">A4+1</f>
        <v>3</v>
      </c>
      <c r="B5" s="697">
        <v>42738</v>
      </c>
      <c r="C5" s="701" t="s">
        <v>1210</v>
      </c>
      <c r="D5" s="701" t="s">
        <v>1211</v>
      </c>
      <c r="E5" s="701" t="s">
        <v>1212</v>
      </c>
      <c r="F5" s="701" t="s">
        <v>1213</v>
      </c>
      <c r="G5" s="700" t="s">
        <v>1214</v>
      </c>
      <c r="H5" s="698" t="s">
        <v>1215</v>
      </c>
      <c r="I5" s="701"/>
      <c r="J5" s="695"/>
    </row>
    <row r="6" spans="1:12" ht="33.75" customHeight="1" x14ac:dyDescent="0.35">
      <c r="A6" s="699">
        <f t="shared" si="0"/>
        <v>4</v>
      </c>
      <c r="B6" s="697">
        <v>42758</v>
      </c>
      <c r="C6" s="701" t="s">
        <v>1210</v>
      </c>
      <c r="D6" s="701" t="s">
        <v>704</v>
      </c>
      <c r="E6" s="701" t="s">
        <v>1216</v>
      </c>
      <c r="F6" s="701" t="s">
        <v>1213</v>
      </c>
      <c r="G6" s="700" t="s">
        <v>1217</v>
      </c>
      <c r="H6" s="698" t="s">
        <v>1218</v>
      </c>
      <c r="I6" s="701" t="s">
        <v>1219</v>
      </c>
      <c r="J6" s="695"/>
    </row>
    <row r="7" spans="1:12" ht="78" x14ac:dyDescent="0.35">
      <c r="A7" s="699">
        <f t="shared" si="0"/>
        <v>5</v>
      </c>
      <c r="B7" s="697">
        <v>42769</v>
      </c>
      <c r="C7" s="701" t="s">
        <v>1210</v>
      </c>
      <c r="D7" s="701" t="s">
        <v>704</v>
      </c>
      <c r="E7" s="701" t="s">
        <v>1220</v>
      </c>
      <c r="F7" s="701" t="s">
        <v>1221</v>
      </c>
      <c r="G7" s="700" t="s">
        <v>1222</v>
      </c>
      <c r="H7" s="698" t="s">
        <v>1593</v>
      </c>
      <c r="I7" s="701" t="s">
        <v>1223</v>
      </c>
      <c r="J7" s="695"/>
    </row>
    <row r="8" spans="1:12" ht="72.75" customHeight="1" x14ac:dyDescent="0.35">
      <c r="A8" s="699">
        <f t="shared" si="0"/>
        <v>6</v>
      </c>
      <c r="B8" s="697">
        <v>42804</v>
      </c>
      <c r="C8" s="701" t="s">
        <v>1210</v>
      </c>
      <c r="D8" s="701" t="s">
        <v>704</v>
      </c>
      <c r="E8" s="701" t="s">
        <v>1224</v>
      </c>
      <c r="F8" s="701" t="s">
        <v>1221</v>
      </c>
      <c r="G8" s="700" t="s">
        <v>1225</v>
      </c>
      <c r="H8" s="698" t="s">
        <v>1226</v>
      </c>
      <c r="I8" s="701" t="s">
        <v>1227</v>
      </c>
      <c r="J8" s="695"/>
    </row>
    <row r="9" spans="1:12" ht="118.5" customHeight="1" x14ac:dyDescent="0.35">
      <c r="A9" s="699">
        <v>7</v>
      </c>
      <c r="B9" s="697">
        <v>42820</v>
      </c>
      <c r="C9" s="701" t="s">
        <v>1201</v>
      </c>
      <c r="D9" s="701" t="s">
        <v>1228</v>
      </c>
      <c r="E9" s="701" t="s">
        <v>1229</v>
      </c>
      <c r="F9" s="701" t="s">
        <v>1230</v>
      </c>
      <c r="G9" s="700" t="s">
        <v>1231</v>
      </c>
      <c r="H9" s="703" t="s">
        <v>1594</v>
      </c>
      <c r="I9" s="701" t="s">
        <v>1232</v>
      </c>
      <c r="J9" s="695"/>
    </row>
    <row r="10" spans="1:12" ht="36" customHeight="1" x14ac:dyDescent="0.35">
      <c r="A10" s="699">
        <f t="shared" si="0"/>
        <v>8</v>
      </c>
      <c r="B10" s="697">
        <v>42824</v>
      </c>
      <c r="C10" s="701" t="s">
        <v>1210</v>
      </c>
      <c r="D10" s="701" t="s">
        <v>704</v>
      </c>
      <c r="E10" s="701" t="s">
        <v>1233</v>
      </c>
      <c r="F10" s="701" t="s">
        <v>1221</v>
      </c>
      <c r="G10" s="700" t="s">
        <v>1234</v>
      </c>
      <c r="H10" s="704" t="s">
        <v>1235</v>
      </c>
      <c r="I10" s="701" t="s">
        <v>1236</v>
      </c>
      <c r="J10" s="695"/>
    </row>
    <row r="11" spans="1:12" ht="39" x14ac:dyDescent="0.35">
      <c r="A11" s="699">
        <f t="shared" si="0"/>
        <v>9</v>
      </c>
      <c r="B11" s="697">
        <v>42869</v>
      </c>
      <c r="C11" s="701" t="s">
        <v>1210</v>
      </c>
      <c r="D11" s="701" t="s">
        <v>704</v>
      </c>
      <c r="E11" s="701" t="s">
        <v>1233</v>
      </c>
      <c r="F11" s="701" t="s">
        <v>1221</v>
      </c>
      <c r="G11" s="700" t="s">
        <v>1237</v>
      </c>
      <c r="H11" s="698" t="s">
        <v>1238</v>
      </c>
      <c r="I11" s="701" t="s">
        <v>1239</v>
      </c>
      <c r="J11" s="695"/>
    </row>
    <row r="12" spans="1:12" ht="65" x14ac:dyDescent="0.35">
      <c r="A12" s="699">
        <f t="shared" si="0"/>
        <v>10</v>
      </c>
      <c r="B12" s="697">
        <v>43005</v>
      </c>
      <c r="C12" s="705" t="s">
        <v>1240</v>
      </c>
      <c r="D12" s="705" t="s">
        <v>1211</v>
      </c>
      <c r="E12" s="701" t="s">
        <v>1220</v>
      </c>
      <c r="F12" s="701" t="s">
        <v>1221</v>
      </c>
      <c r="G12" s="700" t="s">
        <v>1241</v>
      </c>
      <c r="H12" s="698" t="s">
        <v>1596</v>
      </c>
      <c r="I12" s="701" t="s">
        <v>1242</v>
      </c>
      <c r="J12" s="695"/>
    </row>
    <row r="13" spans="1:12" ht="68.25" customHeight="1" x14ac:dyDescent="0.35">
      <c r="A13" s="699">
        <f t="shared" si="0"/>
        <v>11</v>
      </c>
      <c r="B13" s="697">
        <v>43005</v>
      </c>
      <c r="C13" s="705" t="s">
        <v>1240</v>
      </c>
      <c r="D13" s="705" t="s">
        <v>1211</v>
      </c>
      <c r="E13" s="701" t="s">
        <v>1243</v>
      </c>
      <c r="F13" s="701" t="s">
        <v>1244</v>
      </c>
      <c r="G13" s="700" t="s">
        <v>1245</v>
      </c>
      <c r="H13" s="706" t="s">
        <v>1595</v>
      </c>
      <c r="I13" s="701" t="s">
        <v>1246</v>
      </c>
      <c r="J13" s="695"/>
    </row>
    <row r="14" spans="1:12" ht="52" x14ac:dyDescent="0.35">
      <c r="A14" s="699">
        <f t="shared" si="0"/>
        <v>12</v>
      </c>
      <c r="B14" s="697">
        <v>43007</v>
      </c>
      <c r="C14" s="705" t="s">
        <v>1240</v>
      </c>
      <c r="D14" s="705" t="s">
        <v>1211</v>
      </c>
      <c r="E14" s="701" t="s">
        <v>1220</v>
      </c>
      <c r="F14" s="701" t="s">
        <v>1247</v>
      </c>
      <c r="G14" s="700" t="s">
        <v>1248</v>
      </c>
      <c r="H14" s="706" t="s">
        <v>1249</v>
      </c>
      <c r="I14" s="701" t="s">
        <v>1250</v>
      </c>
    </row>
    <row r="15" spans="1:12" ht="78" x14ac:dyDescent="0.35">
      <c r="A15" s="699">
        <f t="shared" si="0"/>
        <v>13</v>
      </c>
      <c r="B15" s="697">
        <v>43009</v>
      </c>
      <c r="C15" s="705" t="s">
        <v>1240</v>
      </c>
      <c r="D15" s="700" t="s">
        <v>1228</v>
      </c>
      <c r="E15" s="701" t="s">
        <v>1251</v>
      </c>
      <c r="F15" s="701" t="s">
        <v>1247</v>
      </c>
      <c r="G15" s="700" t="s">
        <v>1252</v>
      </c>
      <c r="H15" s="706" t="s">
        <v>1253</v>
      </c>
      <c r="I15" s="701" t="s">
        <v>1254</v>
      </c>
    </row>
    <row r="16" spans="1:12" ht="91" x14ac:dyDescent="0.35">
      <c r="A16" s="699">
        <f t="shared" si="0"/>
        <v>14</v>
      </c>
      <c r="B16" s="697">
        <v>43010</v>
      </c>
      <c r="C16" s="705" t="s">
        <v>1240</v>
      </c>
      <c r="D16" s="700" t="s">
        <v>1228</v>
      </c>
      <c r="E16" s="701" t="s">
        <v>1255</v>
      </c>
      <c r="F16" s="701" t="s">
        <v>1221</v>
      </c>
      <c r="G16" s="700" t="s">
        <v>1256</v>
      </c>
      <c r="H16" s="706" t="s">
        <v>1597</v>
      </c>
      <c r="I16" s="701" t="s">
        <v>1257</v>
      </c>
    </row>
    <row r="17" spans="1:9" ht="78" x14ac:dyDescent="0.35">
      <c r="A17" s="699">
        <f t="shared" si="0"/>
        <v>15</v>
      </c>
      <c r="B17" s="697">
        <v>43010</v>
      </c>
      <c r="C17" s="705" t="s">
        <v>1240</v>
      </c>
      <c r="D17" s="700" t="s">
        <v>1228</v>
      </c>
      <c r="E17" s="701" t="s">
        <v>1258</v>
      </c>
      <c r="F17" s="701" t="s">
        <v>1259</v>
      </c>
      <c r="G17" s="700" t="s">
        <v>1260</v>
      </c>
      <c r="H17" s="706" t="s">
        <v>1598</v>
      </c>
      <c r="I17" s="701" t="s">
        <v>1261</v>
      </c>
    </row>
    <row r="18" spans="1:9" ht="104" x14ac:dyDescent="0.35">
      <c r="A18" s="699">
        <f t="shared" si="0"/>
        <v>16</v>
      </c>
      <c r="B18" s="697">
        <v>43013</v>
      </c>
      <c r="C18" s="705" t="s">
        <v>1240</v>
      </c>
      <c r="D18" s="705" t="s">
        <v>1211</v>
      </c>
      <c r="E18" s="701" t="s">
        <v>1233</v>
      </c>
      <c r="F18" s="701" t="s">
        <v>1221</v>
      </c>
      <c r="G18" s="700" t="s">
        <v>1262</v>
      </c>
      <c r="H18" s="706" t="s">
        <v>1263</v>
      </c>
      <c r="I18" s="701" t="s">
        <v>1264</v>
      </c>
    </row>
    <row r="19" spans="1:9" ht="39" x14ac:dyDescent="0.35">
      <c r="A19" s="699">
        <f t="shared" si="0"/>
        <v>17</v>
      </c>
      <c r="B19" s="697">
        <v>43016</v>
      </c>
      <c r="C19" s="705" t="s">
        <v>1240</v>
      </c>
      <c r="D19" s="705" t="s">
        <v>1211</v>
      </c>
      <c r="E19" s="701" t="s">
        <v>1265</v>
      </c>
      <c r="F19" s="701" t="s">
        <v>1221</v>
      </c>
      <c r="G19" s="700" t="s">
        <v>1266</v>
      </c>
      <c r="H19" s="706" t="s">
        <v>1267</v>
      </c>
      <c r="I19" s="701" t="s">
        <v>1268</v>
      </c>
    </row>
    <row r="20" spans="1:9" ht="52" x14ac:dyDescent="0.35">
      <c r="A20" s="699">
        <f t="shared" si="0"/>
        <v>18</v>
      </c>
      <c r="B20" s="697">
        <v>43016</v>
      </c>
      <c r="C20" s="705" t="s">
        <v>1240</v>
      </c>
      <c r="D20" s="705" t="s">
        <v>1211</v>
      </c>
      <c r="E20" s="701" t="s">
        <v>1269</v>
      </c>
      <c r="F20" s="701" t="s">
        <v>1221</v>
      </c>
      <c r="G20" s="700" t="s">
        <v>1270</v>
      </c>
      <c r="H20" s="706" t="s">
        <v>1271</v>
      </c>
      <c r="I20" s="701" t="s">
        <v>1272</v>
      </c>
    </row>
    <row r="21" spans="1:9" ht="148.5" customHeight="1" x14ac:dyDescent="0.35">
      <c r="A21" s="699">
        <f t="shared" si="0"/>
        <v>19</v>
      </c>
      <c r="B21" s="697">
        <v>43017</v>
      </c>
      <c r="C21" s="705" t="s">
        <v>1240</v>
      </c>
      <c r="D21" s="705" t="s">
        <v>1211</v>
      </c>
      <c r="E21" s="701" t="s">
        <v>1220</v>
      </c>
      <c r="F21" s="701" t="s">
        <v>1247</v>
      </c>
      <c r="G21" s="700" t="s">
        <v>1273</v>
      </c>
      <c r="H21" s="707" t="s">
        <v>1274</v>
      </c>
      <c r="I21" s="701" t="s">
        <v>1275</v>
      </c>
    </row>
    <row r="22" spans="1:9" ht="110.25" customHeight="1" x14ac:dyDescent="0.35">
      <c r="A22" s="699">
        <f t="shared" si="0"/>
        <v>20</v>
      </c>
      <c r="B22" s="697">
        <v>43017</v>
      </c>
      <c r="C22" s="705" t="s">
        <v>1240</v>
      </c>
      <c r="D22" s="705" t="s">
        <v>1211</v>
      </c>
      <c r="E22" s="701" t="s">
        <v>1276</v>
      </c>
      <c r="F22" s="701" t="s">
        <v>1221</v>
      </c>
      <c r="G22" s="700" t="s">
        <v>1277</v>
      </c>
      <c r="H22" s="706" t="s">
        <v>1278</v>
      </c>
      <c r="I22" s="701" t="s">
        <v>1279</v>
      </c>
    </row>
    <row r="23" spans="1:9" ht="139.5" customHeight="1" x14ac:dyDescent="0.35">
      <c r="A23" s="699">
        <f t="shared" si="0"/>
        <v>21</v>
      </c>
      <c r="B23" s="697">
        <v>43018</v>
      </c>
      <c r="C23" s="705" t="s">
        <v>1240</v>
      </c>
      <c r="D23" s="705" t="s">
        <v>1211</v>
      </c>
      <c r="E23" s="701" t="s">
        <v>1280</v>
      </c>
      <c r="F23" s="701" t="s">
        <v>1221</v>
      </c>
      <c r="G23" s="700" t="s">
        <v>1281</v>
      </c>
      <c r="H23" s="706" t="s">
        <v>1282</v>
      </c>
      <c r="I23" s="701" t="s">
        <v>1283</v>
      </c>
    </row>
    <row r="24" spans="1:9" ht="117" customHeight="1" x14ac:dyDescent="0.35">
      <c r="A24" s="699">
        <f t="shared" si="0"/>
        <v>22</v>
      </c>
      <c r="B24" s="697">
        <v>43038</v>
      </c>
      <c r="C24" s="705" t="s">
        <v>1240</v>
      </c>
      <c r="D24" s="700" t="s">
        <v>1228</v>
      </c>
      <c r="E24" s="701" t="s">
        <v>1229</v>
      </c>
      <c r="F24" s="701" t="s">
        <v>1221</v>
      </c>
      <c r="G24" s="700" t="s">
        <v>1284</v>
      </c>
      <c r="H24" s="706" t="s">
        <v>1285</v>
      </c>
      <c r="I24" s="701" t="s">
        <v>1286</v>
      </c>
    </row>
    <row r="25" spans="1:9" ht="78" customHeight="1" x14ac:dyDescent="0.35">
      <c r="A25" s="699">
        <f t="shared" si="0"/>
        <v>23</v>
      </c>
      <c r="B25" s="697">
        <v>43038</v>
      </c>
      <c r="C25" s="705" t="s">
        <v>1240</v>
      </c>
      <c r="D25" s="705" t="s">
        <v>1211</v>
      </c>
      <c r="E25" s="701" t="s">
        <v>1216</v>
      </c>
      <c r="F25" s="701" t="s">
        <v>1221</v>
      </c>
      <c r="G25" s="700" t="s">
        <v>1287</v>
      </c>
      <c r="H25" s="706" t="s">
        <v>1288</v>
      </c>
      <c r="I25" s="701" t="s">
        <v>1289</v>
      </c>
    </row>
    <row r="26" spans="1:9" ht="94.5" customHeight="1" x14ac:dyDescent="0.35">
      <c r="A26" s="699">
        <f t="shared" si="0"/>
        <v>24</v>
      </c>
      <c r="B26" s="697">
        <v>43038</v>
      </c>
      <c r="C26" s="705" t="s">
        <v>1240</v>
      </c>
      <c r="D26" s="705" t="s">
        <v>1211</v>
      </c>
      <c r="E26" s="701" t="s">
        <v>1280</v>
      </c>
      <c r="F26" s="701" t="s">
        <v>1221</v>
      </c>
      <c r="G26" s="700" t="s">
        <v>1290</v>
      </c>
      <c r="H26" s="706" t="s">
        <v>1291</v>
      </c>
      <c r="I26" s="701" t="s">
        <v>1292</v>
      </c>
    </row>
    <row r="27" spans="1:9" ht="52" x14ac:dyDescent="0.35">
      <c r="A27" s="699">
        <f t="shared" si="0"/>
        <v>25</v>
      </c>
      <c r="B27" s="697">
        <v>43012</v>
      </c>
      <c r="C27" s="700" t="s">
        <v>1293</v>
      </c>
      <c r="D27" s="700" t="s">
        <v>1228</v>
      </c>
      <c r="E27" s="701" t="s">
        <v>1294</v>
      </c>
      <c r="F27" s="701" t="s">
        <v>1295</v>
      </c>
      <c r="G27" s="700" t="s">
        <v>1296</v>
      </c>
      <c r="H27" s="706" t="s">
        <v>1297</v>
      </c>
      <c r="I27" s="701" t="s">
        <v>1298</v>
      </c>
    </row>
    <row r="28" spans="1:9" ht="102.75" customHeight="1" x14ac:dyDescent="0.35">
      <c r="A28" s="699">
        <f t="shared" si="0"/>
        <v>26</v>
      </c>
      <c r="B28" s="697">
        <v>42968</v>
      </c>
      <c r="C28" s="701" t="s">
        <v>1299</v>
      </c>
      <c r="D28" s="700" t="s">
        <v>1228</v>
      </c>
      <c r="E28" s="701" t="s">
        <v>1300</v>
      </c>
      <c r="F28" s="701" t="s">
        <v>1301</v>
      </c>
      <c r="G28" s="700" t="s">
        <v>1302</v>
      </c>
      <c r="H28" s="706" t="s">
        <v>1303</v>
      </c>
      <c r="I28" s="701" t="s">
        <v>1304</v>
      </c>
    </row>
    <row r="29" spans="1:9" ht="108" customHeight="1" x14ac:dyDescent="0.35">
      <c r="A29" s="699">
        <f t="shared" si="0"/>
        <v>27</v>
      </c>
      <c r="B29" s="697">
        <v>43004</v>
      </c>
      <c r="C29" s="701" t="s">
        <v>1299</v>
      </c>
      <c r="D29" s="700" t="s">
        <v>1228</v>
      </c>
      <c r="E29" s="701" t="s">
        <v>1305</v>
      </c>
      <c r="F29" s="701" t="s">
        <v>1306</v>
      </c>
      <c r="G29" s="700" t="s">
        <v>1307</v>
      </c>
      <c r="H29" s="706" t="s">
        <v>1308</v>
      </c>
      <c r="I29" s="701" t="s">
        <v>1309</v>
      </c>
    </row>
    <row r="30" spans="1:9" ht="156" customHeight="1" x14ac:dyDescent="0.35">
      <c r="A30" s="699">
        <f t="shared" si="0"/>
        <v>28</v>
      </c>
      <c r="B30" s="697">
        <v>43007</v>
      </c>
      <c r="C30" s="701" t="s">
        <v>1299</v>
      </c>
      <c r="D30" s="700" t="s">
        <v>1228</v>
      </c>
      <c r="E30" s="701" t="s">
        <v>1310</v>
      </c>
      <c r="F30" s="701" t="s">
        <v>1230</v>
      </c>
      <c r="G30" s="700" t="s">
        <v>1311</v>
      </c>
      <c r="H30" s="706" t="s">
        <v>1312</v>
      </c>
      <c r="I30" s="701" t="s">
        <v>1313</v>
      </c>
    </row>
    <row r="31" spans="1:9" ht="48" customHeight="1" x14ac:dyDescent="0.35">
      <c r="A31" s="699">
        <f t="shared" si="0"/>
        <v>29</v>
      </c>
      <c r="B31" s="697">
        <v>43006</v>
      </c>
      <c r="C31" s="701" t="s">
        <v>1293</v>
      </c>
      <c r="D31" s="700" t="s">
        <v>1228</v>
      </c>
      <c r="E31" s="701" t="s">
        <v>1314</v>
      </c>
      <c r="F31" s="701" t="s">
        <v>1306</v>
      </c>
      <c r="G31" s="700" t="s">
        <v>1315</v>
      </c>
      <c r="H31" s="706" t="s">
        <v>1316</v>
      </c>
      <c r="I31" s="701" t="s">
        <v>1317</v>
      </c>
    </row>
    <row r="32" spans="1:9" ht="202.5" customHeight="1" x14ac:dyDescent="0.35">
      <c r="A32" s="699">
        <f t="shared" si="0"/>
        <v>30</v>
      </c>
      <c r="B32" s="697">
        <v>43008</v>
      </c>
      <c r="C32" s="701" t="s">
        <v>1299</v>
      </c>
      <c r="D32" s="700" t="s">
        <v>1228</v>
      </c>
      <c r="E32" s="701" t="s">
        <v>1318</v>
      </c>
      <c r="F32" s="701" t="s">
        <v>1319</v>
      </c>
      <c r="G32" s="700" t="s">
        <v>1320</v>
      </c>
      <c r="H32" s="706" t="s">
        <v>1321</v>
      </c>
      <c r="I32" s="701" t="s">
        <v>1322</v>
      </c>
    </row>
    <row r="33" spans="1:9" ht="66" customHeight="1" x14ac:dyDescent="0.35">
      <c r="A33" s="699">
        <f t="shared" si="0"/>
        <v>31</v>
      </c>
      <c r="B33" s="697">
        <v>43008</v>
      </c>
      <c r="C33" s="701" t="s">
        <v>1293</v>
      </c>
      <c r="D33" s="701" t="s">
        <v>1202</v>
      </c>
      <c r="E33" s="701" t="s">
        <v>1323</v>
      </c>
      <c r="F33" s="701"/>
      <c r="G33" s="700" t="s">
        <v>1256</v>
      </c>
      <c r="H33" s="708" t="s">
        <v>1324</v>
      </c>
      <c r="I33" s="701" t="s">
        <v>1325</v>
      </c>
    </row>
    <row r="34" spans="1:9" ht="60" customHeight="1" x14ac:dyDescent="0.35">
      <c r="A34" s="699">
        <f t="shared" si="0"/>
        <v>32</v>
      </c>
      <c r="B34" s="697">
        <v>43008</v>
      </c>
      <c r="C34" s="701" t="s">
        <v>1201</v>
      </c>
      <c r="D34" s="701" t="s">
        <v>1202</v>
      </c>
      <c r="E34" s="701" t="s">
        <v>1326</v>
      </c>
      <c r="F34" s="701"/>
      <c r="G34" s="700" t="s">
        <v>1256</v>
      </c>
      <c r="H34" s="708" t="s">
        <v>1324</v>
      </c>
      <c r="I34" s="701" t="s">
        <v>1327</v>
      </c>
    </row>
  </sheetData>
  <mergeCells count="1">
    <mergeCell ref="A1:I1"/>
  </mergeCells>
  <hyperlinks>
    <hyperlink ref="I3" r:id="rId1"/>
    <hyperlink ref="I4" r:id="rId2"/>
    <hyperlink ref="I9" r:id="rId3"/>
  </hyperlinks>
  <pageMargins left="0.7" right="0.7" top="0.75" bottom="0.75" header="0.3" footer="0.3"/>
  <pageSetup paperSize="9" orientation="portrait"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L37"/>
  <sheetViews>
    <sheetView zoomScale="90" zoomScaleNormal="90" workbookViewId="0">
      <selection sqref="A1:G1"/>
    </sheetView>
  </sheetViews>
  <sheetFormatPr defaultColWidth="11.453125" defaultRowHeight="14.5" x14ac:dyDescent="0.35"/>
  <cols>
    <col min="2" max="2" width="15.90625" customWidth="1"/>
    <col min="4" max="4" width="33.36328125" customWidth="1"/>
    <col min="5" max="5" width="29.36328125" customWidth="1"/>
    <col min="6" max="6" width="52.453125" customWidth="1"/>
    <col min="7" max="7" width="45.90625" customWidth="1"/>
    <col min="9" max="9" width="62.453125" customWidth="1"/>
  </cols>
  <sheetData>
    <row r="1" spans="1:7" ht="36.75" customHeight="1" x14ac:dyDescent="0.35">
      <c r="A1" s="1424" t="s">
        <v>1370</v>
      </c>
      <c r="B1" s="1424"/>
      <c r="C1" s="1424"/>
      <c r="D1" s="1424"/>
      <c r="E1" s="1424"/>
      <c r="F1" s="1424"/>
      <c r="G1" s="1424"/>
    </row>
    <row r="3" spans="1:7" x14ac:dyDescent="0.35">
      <c r="A3" s="722" t="s">
        <v>1190</v>
      </c>
      <c r="B3" s="721" t="s">
        <v>1191</v>
      </c>
      <c r="C3" s="721" t="s">
        <v>1192</v>
      </c>
      <c r="D3" s="721" t="s">
        <v>1196</v>
      </c>
      <c r="E3" s="721" t="s">
        <v>1198</v>
      </c>
      <c r="F3" s="1425" t="s">
        <v>1197</v>
      </c>
      <c r="G3" s="1426"/>
    </row>
    <row r="4" spans="1:7" ht="88.5" customHeight="1" x14ac:dyDescent="0.35">
      <c r="A4" s="699">
        <v>1</v>
      </c>
      <c r="B4" s="717">
        <v>42821</v>
      </c>
      <c r="C4" s="708" t="s">
        <v>1201</v>
      </c>
      <c r="D4" s="714" t="s">
        <v>1369</v>
      </c>
      <c r="E4" s="714" t="s">
        <v>1368</v>
      </c>
      <c r="F4" s="1427" t="s">
        <v>1367</v>
      </c>
      <c r="G4" s="1427"/>
    </row>
    <row r="5" spans="1:7" ht="60" customHeight="1" x14ac:dyDescent="0.35">
      <c r="A5" s="699">
        <v>2</v>
      </c>
      <c r="B5" s="717">
        <v>42819</v>
      </c>
      <c r="C5" s="708" t="s">
        <v>1201</v>
      </c>
      <c r="D5" s="714" t="s">
        <v>1366</v>
      </c>
      <c r="E5" s="714" t="s">
        <v>1365</v>
      </c>
      <c r="F5" s="1428" t="s">
        <v>1364</v>
      </c>
      <c r="G5" s="1428"/>
    </row>
    <row r="6" spans="1:7" ht="87.75" customHeight="1" x14ac:dyDescent="0.35">
      <c r="A6" s="699">
        <v>3</v>
      </c>
      <c r="B6" s="717">
        <v>42868</v>
      </c>
      <c r="C6" s="708" t="s">
        <v>1201</v>
      </c>
      <c r="D6" s="714" t="s">
        <v>1363</v>
      </c>
      <c r="E6" s="714" t="s">
        <v>1362</v>
      </c>
      <c r="F6" s="1427" t="s">
        <v>1361</v>
      </c>
      <c r="G6" s="1427"/>
    </row>
    <row r="7" spans="1:7" ht="89.25" customHeight="1" x14ac:dyDescent="0.35">
      <c r="A7" s="699">
        <v>4</v>
      </c>
      <c r="B7" s="724">
        <v>42922</v>
      </c>
      <c r="C7" s="708" t="s">
        <v>1201</v>
      </c>
      <c r="D7" s="708" t="s">
        <v>1360</v>
      </c>
      <c r="E7" s="708" t="s">
        <v>1359</v>
      </c>
      <c r="F7" s="1429" t="s">
        <v>1358</v>
      </c>
      <c r="G7" s="1430"/>
    </row>
    <row r="8" spans="1:7" ht="66" customHeight="1" x14ac:dyDescent="0.35">
      <c r="A8" s="699">
        <v>5</v>
      </c>
      <c r="B8" s="724" t="s">
        <v>1357</v>
      </c>
      <c r="C8" s="708" t="s">
        <v>1201</v>
      </c>
      <c r="D8" s="708" t="s">
        <v>1356</v>
      </c>
      <c r="E8" s="708" t="s">
        <v>1355</v>
      </c>
      <c r="F8" s="1429" t="s">
        <v>1354</v>
      </c>
      <c r="G8" s="1430"/>
    </row>
    <row r="9" spans="1:7" ht="52" x14ac:dyDescent="0.35">
      <c r="A9" s="699">
        <v>6</v>
      </c>
      <c r="B9" s="724">
        <v>42937</v>
      </c>
      <c r="C9" s="708" t="s">
        <v>1201</v>
      </c>
      <c r="D9" s="708" t="s">
        <v>1353</v>
      </c>
      <c r="E9" s="708" t="s">
        <v>1352</v>
      </c>
      <c r="F9" s="1429" t="s">
        <v>1351</v>
      </c>
      <c r="G9" s="1430"/>
    </row>
    <row r="10" spans="1:7" ht="65.25" customHeight="1" x14ac:dyDescent="0.35">
      <c r="A10" s="699">
        <v>7</v>
      </c>
      <c r="B10" s="724">
        <v>42962</v>
      </c>
      <c r="C10" s="708" t="s">
        <v>1201</v>
      </c>
      <c r="D10" s="708" t="s">
        <v>1350</v>
      </c>
      <c r="E10" s="708" t="s">
        <v>1349</v>
      </c>
      <c r="F10" s="1429" t="s">
        <v>1348</v>
      </c>
      <c r="G10" s="1430"/>
    </row>
    <row r="11" spans="1:7" ht="46.5" customHeight="1" x14ac:dyDescent="0.35">
      <c r="A11" s="699">
        <v>8</v>
      </c>
      <c r="B11" s="724">
        <v>43004</v>
      </c>
      <c r="C11" s="708" t="s">
        <v>1201</v>
      </c>
      <c r="D11" s="708" t="s">
        <v>1347</v>
      </c>
      <c r="E11" s="708" t="s">
        <v>1346</v>
      </c>
      <c r="F11" s="1429" t="s">
        <v>1345</v>
      </c>
      <c r="G11" s="1430"/>
    </row>
    <row r="12" spans="1:7" ht="52" x14ac:dyDescent="0.35">
      <c r="A12" s="719">
        <v>9</v>
      </c>
      <c r="B12" s="717">
        <v>43007</v>
      </c>
      <c r="C12" s="708" t="s">
        <v>1201</v>
      </c>
      <c r="D12" s="708" t="s">
        <v>1344</v>
      </c>
      <c r="E12" s="714" t="s">
        <v>1343</v>
      </c>
      <c r="F12" s="1427" t="s">
        <v>1342</v>
      </c>
      <c r="G12" s="1430"/>
    </row>
    <row r="14" spans="1:7" x14ac:dyDescent="0.35">
      <c r="A14" s="1421" t="s">
        <v>1341</v>
      </c>
      <c r="B14" s="1422"/>
      <c r="C14" s="1422"/>
      <c r="D14" s="1422"/>
      <c r="E14" s="1422"/>
      <c r="F14" s="1422"/>
      <c r="G14" s="1423"/>
    </row>
    <row r="15" spans="1:7" x14ac:dyDescent="0.35">
      <c r="E15" s="723"/>
    </row>
    <row r="16" spans="1:7" x14ac:dyDescent="0.35">
      <c r="A16" s="722" t="s">
        <v>1190</v>
      </c>
      <c r="B16" s="721" t="s">
        <v>1191</v>
      </c>
      <c r="C16" s="721" t="s">
        <v>1192</v>
      </c>
      <c r="D16" s="721" t="s">
        <v>1195</v>
      </c>
      <c r="E16" s="721" t="s">
        <v>1196</v>
      </c>
      <c r="F16" s="721" t="s">
        <v>1340</v>
      </c>
      <c r="G16" s="721" t="s">
        <v>1197</v>
      </c>
    </row>
    <row r="17" spans="1:12" ht="77.25" customHeight="1" x14ac:dyDescent="0.35">
      <c r="A17" s="719">
        <v>1</v>
      </c>
      <c r="B17" s="720" t="s">
        <v>1339</v>
      </c>
      <c r="C17" s="708" t="s">
        <v>1201</v>
      </c>
      <c r="D17" s="720" t="s">
        <v>1338</v>
      </c>
      <c r="E17" s="720" t="s">
        <v>1337</v>
      </c>
      <c r="F17" s="720" t="s">
        <v>1336</v>
      </c>
      <c r="G17" s="720" t="s">
        <v>1335</v>
      </c>
      <c r="H17" s="1419"/>
      <c r="I17" s="1420"/>
      <c r="J17" s="1420"/>
      <c r="K17" s="1420"/>
      <c r="L17" s="1420"/>
    </row>
    <row r="18" spans="1:12" ht="87" customHeight="1" x14ac:dyDescent="0.35">
      <c r="A18" s="719">
        <v>2</v>
      </c>
      <c r="B18" s="717">
        <v>42964</v>
      </c>
      <c r="C18" s="708" t="s">
        <v>1201</v>
      </c>
      <c r="D18" s="716" t="s">
        <v>1331</v>
      </c>
      <c r="E18" s="716" t="s">
        <v>1334</v>
      </c>
      <c r="F18" s="715" t="s">
        <v>1333</v>
      </c>
      <c r="G18" s="714" t="s">
        <v>1332</v>
      </c>
      <c r="H18" s="1419"/>
      <c r="I18" s="1420"/>
      <c r="J18" s="1420"/>
      <c r="K18" s="1420"/>
      <c r="L18" s="1420"/>
    </row>
    <row r="19" spans="1:12" ht="63.75" customHeight="1" x14ac:dyDescent="0.35">
      <c r="A19" s="718">
        <v>3</v>
      </c>
      <c r="B19" s="717">
        <v>43006</v>
      </c>
      <c r="C19" s="708" t="s">
        <v>1201</v>
      </c>
      <c r="D19" s="716" t="s">
        <v>1331</v>
      </c>
      <c r="E19" s="714" t="s">
        <v>1330</v>
      </c>
      <c r="F19" s="715" t="s">
        <v>1329</v>
      </c>
      <c r="G19" s="714" t="s">
        <v>1328</v>
      </c>
      <c r="H19" s="1419"/>
      <c r="I19" s="1420"/>
      <c r="J19" s="1420"/>
      <c r="K19" s="1420"/>
      <c r="L19" s="1420"/>
    </row>
    <row r="20" spans="1:12" x14ac:dyDescent="0.35">
      <c r="G20" s="713"/>
    </row>
    <row r="37" spans="5:5" x14ac:dyDescent="0.35">
      <c r="E37">
        <f ca="1">21:47</f>
        <v>0</v>
      </c>
    </row>
  </sheetData>
  <mergeCells count="14">
    <mergeCell ref="H18:L19"/>
    <mergeCell ref="A14:G14"/>
    <mergeCell ref="A1:G1"/>
    <mergeCell ref="F3:G3"/>
    <mergeCell ref="F4:G4"/>
    <mergeCell ref="F5:G5"/>
    <mergeCell ref="F6:G6"/>
    <mergeCell ref="F7:G7"/>
    <mergeCell ref="F8:G8"/>
    <mergeCell ref="F9:G9"/>
    <mergeCell ref="F10:G10"/>
    <mergeCell ref="F11:G11"/>
    <mergeCell ref="F12:G12"/>
    <mergeCell ref="H17:L17"/>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B1:K24"/>
  <sheetViews>
    <sheetView zoomScale="90" zoomScaleNormal="90" workbookViewId="0">
      <selection activeCell="C1" sqref="C1"/>
    </sheetView>
  </sheetViews>
  <sheetFormatPr defaultColWidth="9.08984375" defaultRowHeight="14.5" x14ac:dyDescent="0.35"/>
  <cols>
    <col min="1" max="1" width="1.36328125" customWidth="1"/>
    <col min="2" max="2" width="2.453125" customWidth="1"/>
    <col min="3" max="3" width="47.453125" customWidth="1"/>
    <col min="4" max="6" width="20.54296875" customWidth="1"/>
    <col min="7" max="7" width="47.08984375" customWidth="1"/>
    <col min="8" max="8" width="21.36328125" customWidth="1"/>
    <col min="9" max="9" width="1.6328125" customWidth="1"/>
    <col min="10" max="10" width="1.36328125" customWidth="1"/>
    <col min="11" max="11" width="84.90625" bestFit="1" customWidth="1"/>
  </cols>
  <sheetData>
    <row r="1" spans="2:11" ht="15" thickBot="1" x14ac:dyDescent="0.4"/>
    <row r="2" spans="2:11" ht="15" thickBot="1" x14ac:dyDescent="0.4">
      <c r="B2" s="745"/>
      <c r="C2" s="744"/>
      <c r="D2" s="744"/>
      <c r="E2" s="744"/>
      <c r="F2" s="744"/>
      <c r="G2" s="744"/>
      <c r="H2" s="744"/>
      <c r="I2" s="743"/>
    </row>
    <row r="3" spans="2:11" ht="20.5" thickBot="1" x14ac:dyDescent="0.45">
      <c r="B3" s="742"/>
      <c r="C3" s="1431" t="s">
        <v>1377</v>
      </c>
      <c r="D3" s="1431"/>
      <c r="E3" s="1431"/>
      <c r="F3" s="1431"/>
      <c r="G3" s="1431"/>
      <c r="H3" s="1431"/>
      <c r="I3" s="728"/>
    </row>
    <row r="4" spans="2:11" x14ac:dyDescent="0.35">
      <c r="B4" s="1432"/>
      <c r="C4" s="1432"/>
      <c r="D4" s="1432"/>
      <c r="E4" s="1432"/>
      <c r="F4" s="1432"/>
      <c r="G4" s="1432"/>
      <c r="H4" s="1432"/>
      <c r="I4" s="728"/>
    </row>
    <row r="5" spans="2:11" ht="15" thickBot="1" x14ac:dyDescent="0.4">
      <c r="B5" s="729"/>
      <c r="C5" s="1433"/>
      <c r="D5" s="1433"/>
      <c r="E5" s="1433"/>
      <c r="F5" s="1433"/>
      <c r="G5" s="1433"/>
      <c r="H5" s="1433"/>
      <c r="I5" s="728"/>
    </row>
    <row r="6" spans="2:11" ht="42.5" thickBot="1" x14ac:dyDescent="0.4">
      <c r="B6" s="729"/>
      <c r="C6" s="741" t="s">
        <v>255</v>
      </c>
      <c r="D6" s="741" t="s">
        <v>1599</v>
      </c>
      <c r="E6" s="741" t="s">
        <v>1376</v>
      </c>
      <c r="F6" s="741" t="s">
        <v>1375</v>
      </c>
      <c r="G6" s="741" t="s">
        <v>1374</v>
      </c>
      <c r="H6" s="741" t="s">
        <v>1373</v>
      </c>
      <c r="I6" s="728"/>
    </row>
    <row r="7" spans="2:11" ht="42" x14ac:dyDescent="0.35">
      <c r="B7" s="729"/>
      <c r="C7" s="740" t="s">
        <v>257</v>
      </c>
      <c r="D7" s="738">
        <v>0</v>
      </c>
      <c r="E7" s="738">
        <v>0</v>
      </c>
      <c r="F7" s="738">
        <v>0</v>
      </c>
      <c r="G7" s="737"/>
      <c r="H7" s="736" t="s">
        <v>368</v>
      </c>
      <c r="I7" s="728"/>
    </row>
    <row r="8" spans="2:11" ht="28" x14ac:dyDescent="0.35">
      <c r="B8" s="729"/>
      <c r="C8" s="740" t="s">
        <v>258</v>
      </c>
      <c r="D8" s="738">
        <v>0</v>
      </c>
      <c r="E8" s="738">
        <v>0</v>
      </c>
      <c r="F8" s="738">
        <v>0</v>
      </c>
      <c r="G8" s="737"/>
      <c r="H8" s="736" t="s">
        <v>368</v>
      </c>
      <c r="I8" s="728"/>
    </row>
    <row r="9" spans="2:11" ht="28" x14ac:dyDescent="0.35">
      <c r="B9" s="729"/>
      <c r="C9" s="740" t="s">
        <v>259</v>
      </c>
      <c r="D9" s="738">
        <v>0</v>
      </c>
      <c r="E9" s="738">
        <v>0</v>
      </c>
      <c r="F9" s="738">
        <v>0</v>
      </c>
      <c r="G9" s="737"/>
      <c r="H9" s="736" t="s">
        <v>368</v>
      </c>
      <c r="I9" s="728"/>
    </row>
    <row r="10" spans="2:11" ht="42" x14ac:dyDescent="0.35">
      <c r="B10" s="729"/>
      <c r="C10" s="740" t="s">
        <v>260</v>
      </c>
      <c r="D10" s="738">
        <v>0</v>
      </c>
      <c r="E10" s="738">
        <v>0</v>
      </c>
      <c r="F10" s="738">
        <v>0</v>
      </c>
      <c r="G10" s="737"/>
      <c r="H10" s="736" t="s">
        <v>368</v>
      </c>
      <c r="I10" s="728"/>
    </row>
    <row r="11" spans="2:11" ht="28" x14ac:dyDescent="0.35">
      <c r="B11" s="729"/>
      <c r="C11" s="740" t="s">
        <v>262</v>
      </c>
      <c r="D11" s="738">
        <v>0</v>
      </c>
      <c r="E11" s="738">
        <v>0</v>
      </c>
      <c r="F11" s="738">
        <v>0</v>
      </c>
      <c r="G11" s="737"/>
      <c r="H11" s="736" t="s">
        <v>368</v>
      </c>
      <c r="I11" s="728"/>
    </row>
    <row r="12" spans="2:11" s="857" customFormat="1" ht="112" x14ac:dyDescent="0.35">
      <c r="B12" s="948"/>
      <c r="C12" s="949" t="s">
        <v>263</v>
      </c>
      <c r="D12" s="950">
        <v>0</v>
      </c>
      <c r="E12" s="950">
        <v>14578.31</v>
      </c>
      <c r="F12" s="950">
        <f t="shared" ref="F12:F20" si="0">+D12-E12</f>
        <v>-14578.31</v>
      </c>
      <c r="G12" s="737" t="s">
        <v>1613</v>
      </c>
      <c r="H12" s="951"/>
      <c r="I12" s="728"/>
      <c r="K12" s="952"/>
    </row>
    <row r="13" spans="2:11" ht="28" x14ac:dyDescent="0.35">
      <c r="B13" s="729"/>
      <c r="C13" s="740" t="s">
        <v>265</v>
      </c>
      <c r="D13" s="738">
        <v>0</v>
      </c>
      <c r="E13" s="738">
        <v>0</v>
      </c>
      <c r="F13" s="738">
        <v>0</v>
      </c>
      <c r="G13" s="737"/>
      <c r="H13" s="736" t="s">
        <v>368</v>
      </c>
      <c r="I13" s="728"/>
    </row>
    <row r="14" spans="2:11" ht="84" x14ac:dyDescent="0.35">
      <c r="B14" s="729"/>
      <c r="C14" s="740" t="s">
        <v>266</v>
      </c>
      <c r="D14" s="939">
        <v>63624.76</v>
      </c>
      <c r="E14" s="739">
        <v>0</v>
      </c>
      <c r="F14" s="738">
        <f t="shared" si="0"/>
        <v>63624.76</v>
      </c>
      <c r="G14" s="737" t="s">
        <v>1600</v>
      </c>
      <c r="H14" s="736">
        <f t="shared" ref="H14:H20" si="1">+E14/D14</f>
        <v>0</v>
      </c>
      <c r="I14" s="728"/>
    </row>
    <row r="15" spans="2:11" ht="112" x14ac:dyDescent="0.35">
      <c r="B15" s="729"/>
      <c r="C15" s="740" t="s">
        <v>268</v>
      </c>
      <c r="D15" s="939">
        <v>15000</v>
      </c>
      <c r="E15" s="739">
        <v>22315.83</v>
      </c>
      <c r="F15" s="738">
        <f t="shared" si="0"/>
        <v>-7315.8300000000017</v>
      </c>
      <c r="G15" s="737" t="s">
        <v>1601</v>
      </c>
      <c r="H15" s="736">
        <f t="shared" si="1"/>
        <v>1.4877220000000002</v>
      </c>
      <c r="I15" s="728"/>
      <c r="K15" s="735"/>
    </row>
    <row r="16" spans="2:11" s="857" customFormat="1" ht="168" x14ac:dyDescent="0.35">
      <c r="B16" s="948"/>
      <c r="C16" s="949" t="s">
        <v>270</v>
      </c>
      <c r="D16" s="950">
        <v>52657.55</v>
      </c>
      <c r="E16" s="950">
        <v>83432.56</v>
      </c>
      <c r="F16" s="950">
        <f t="shared" si="0"/>
        <v>-30775.009999999995</v>
      </c>
      <c r="G16" s="737" t="s">
        <v>1614</v>
      </c>
      <c r="H16" s="951" t="s">
        <v>368</v>
      </c>
      <c r="I16" s="728"/>
      <c r="K16" s="952"/>
    </row>
    <row r="17" spans="2:11" ht="154" x14ac:dyDescent="0.35">
      <c r="B17" s="729"/>
      <c r="C17" s="740" t="s">
        <v>272</v>
      </c>
      <c r="D17" s="939">
        <v>1353570.43</v>
      </c>
      <c r="E17" s="739">
        <v>503568.9</v>
      </c>
      <c r="F17" s="738">
        <f t="shared" si="0"/>
        <v>850001.52999999991</v>
      </c>
      <c r="G17" s="737" t="s">
        <v>1602</v>
      </c>
      <c r="H17" s="736">
        <f t="shared" si="1"/>
        <v>0.37203006865331717</v>
      </c>
      <c r="I17" s="728"/>
    </row>
    <row r="18" spans="2:11" ht="70" x14ac:dyDescent="0.35">
      <c r="B18" s="729"/>
      <c r="C18" s="740" t="s">
        <v>273</v>
      </c>
      <c r="D18" s="939">
        <v>557145.14</v>
      </c>
      <c r="E18" s="739">
        <v>119041.25</v>
      </c>
      <c r="F18" s="738">
        <f t="shared" si="0"/>
        <v>438103.89</v>
      </c>
      <c r="G18" s="737" t="s">
        <v>1603</v>
      </c>
      <c r="H18" s="736">
        <f t="shared" si="1"/>
        <v>0.21366290658121867</v>
      </c>
      <c r="I18" s="728"/>
    </row>
    <row r="19" spans="2:11" ht="56" x14ac:dyDescent="0.35">
      <c r="B19" s="729"/>
      <c r="C19" s="740" t="s">
        <v>275</v>
      </c>
      <c r="D19" s="939">
        <v>84408.81</v>
      </c>
      <c r="E19" s="739"/>
      <c r="F19" s="738">
        <f t="shared" si="0"/>
        <v>84408.81</v>
      </c>
      <c r="G19" s="737" t="s">
        <v>1604</v>
      </c>
      <c r="H19" s="736">
        <f t="shared" si="1"/>
        <v>0</v>
      </c>
      <c r="I19" s="728"/>
      <c r="K19" s="735"/>
    </row>
    <row r="20" spans="2:11" ht="56" x14ac:dyDescent="0.35">
      <c r="B20" s="729"/>
      <c r="C20" s="740" t="s">
        <v>277</v>
      </c>
      <c r="D20" s="939">
        <v>97343.1</v>
      </c>
      <c r="E20" s="739">
        <v>23703.1</v>
      </c>
      <c r="F20" s="738">
        <f t="shared" si="0"/>
        <v>73640</v>
      </c>
      <c r="G20" s="737" t="s">
        <v>1372</v>
      </c>
      <c r="H20" s="736">
        <f t="shared" si="1"/>
        <v>0.24350056655273972</v>
      </c>
      <c r="I20" s="728"/>
      <c r="K20" s="735"/>
    </row>
    <row r="21" spans="2:11" ht="15" thickBot="1" x14ac:dyDescent="0.4">
      <c r="B21" s="729"/>
      <c r="C21" s="734"/>
      <c r="D21" s="733">
        <f>SUM(D7:D20)</f>
        <v>2223749.79</v>
      </c>
      <c r="E21" s="733">
        <f>SUM(E7:E20)</f>
        <v>766639.95</v>
      </c>
      <c r="F21" s="733">
        <f>SUM(F7:F20)</f>
        <v>1457109.8399999999</v>
      </c>
      <c r="G21" s="732"/>
      <c r="H21" s="731"/>
      <c r="I21" s="728"/>
    </row>
    <row r="22" spans="2:11" x14ac:dyDescent="0.35">
      <c r="B22" s="729"/>
      <c r="C22" s="730"/>
      <c r="D22" s="730"/>
      <c r="E22" s="730"/>
      <c r="F22" s="730"/>
      <c r="G22" s="730"/>
      <c r="H22" s="730"/>
      <c r="I22" s="728"/>
    </row>
    <row r="23" spans="2:11" x14ac:dyDescent="0.35">
      <c r="B23" s="729"/>
      <c r="C23" s="1434" t="s">
        <v>1371</v>
      </c>
      <c r="D23" s="1434"/>
      <c r="E23" s="1434"/>
      <c r="F23" s="1434"/>
      <c r="G23" s="1434"/>
      <c r="H23" s="1434"/>
      <c r="I23" s="728"/>
    </row>
    <row r="24" spans="2:11" ht="15" thickBot="1" x14ac:dyDescent="0.4">
      <c r="B24" s="727"/>
      <c r="C24" s="726"/>
      <c r="D24" s="726"/>
      <c r="E24" s="726"/>
      <c r="F24" s="726"/>
      <c r="G24" s="726"/>
      <c r="H24" s="726"/>
      <c r="I24" s="725"/>
    </row>
  </sheetData>
  <mergeCells count="4">
    <mergeCell ref="C3:H3"/>
    <mergeCell ref="B4:H4"/>
    <mergeCell ref="C5:H5"/>
    <mergeCell ref="C23:H2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tabColor rgb="FF00B050"/>
    <pageSetUpPr fitToPage="1"/>
  </sheetPr>
  <dimension ref="A1:DT66"/>
  <sheetViews>
    <sheetView zoomScale="40" zoomScaleNormal="40" workbookViewId="0">
      <pane xSplit="5" ySplit="7" topLeftCell="F8" activePane="bottomRight" state="frozen"/>
      <selection pane="topRight" activeCell="H1" sqref="H1"/>
      <selection pane="bottomLeft" activeCell="A8" sqref="A8"/>
      <selection pane="bottomRight" activeCell="B1" sqref="B1"/>
    </sheetView>
  </sheetViews>
  <sheetFormatPr defaultColWidth="11.453125" defaultRowHeight="22.5" x14ac:dyDescent="0.4"/>
  <cols>
    <col min="1" max="1" width="8.6328125" style="750" customWidth="1"/>
    <col min="2" max="2" width="19.36328125" style="750" customWidth="1"/>
    <col min="3" max="3" width="20.08984375" style="750" bestFit="1" customWidth="1"/>
    <col min="4" max="4" width="24" style="750" bestFit="1" customWidth="1"/>
    <col min="5" max="5" width="103.54296875" style="749" customWidth="1"/>
    <col min="6" max="6" width="27.08984375" style="749" customWidth="1"/>
    <col min="7" max="7" width="26.6328125" style="749" customWidth="1"/>
    <col min="8" max="8" width="29.54296875" style="749" customWidth="1"/>
    <col min="9" max="9" width="28.54296875" style="749" customWidth="1"/>
    <col min="10" max="10" width="27.36328125" style="749" customWidth="1"/>
    <col min="11" max="11" width="27.90625" style="749" customWidth="1"/>
    <col min="12" max="12" width="27" style="749" customWidth="1"/>
    <col min="13" max="13" width="28.08984375" style="749" customWidth="1"/>
    <col min="14" max="14" width="29.6328125" style="749" customWidth="1"/>
    <col min="15" max="15" width="32" style="749" customWidth="1"/>
    <col min="16" max="17" width="27.6328125" style="749" customWidth="1"/>
    <col min="18" max="18" width="23.90625" style="749" customWidth="1"/>
    <col min="19" max="19" width="25.6328125" style="749" customWidth="1"/>
    <col min="20" max="20" width="25.453125" style="749" customWidth="1"/>
    <col min="21" max="21" width="24.90625" style="749" customWidth="1"/>
    <col min="22" max="22" width="25.453125" style="749" customWidth="1"/>
    <col min="23" max="23" width="26.6328125" style="749" customWidth="1"/>
    <col min="24" max="24" width="25.6328125" style="749" customWidth="1"/>
    <col min="25" max="25" width="23.54296875" style="749" customWidth="1"/>
    <col min="26" max="26" width="24.54296875" style="749" customWidth="1"/>
    <col min="27" max="27" width="26.90625" style="749" customWidth="1"/>
    <col min="28" max="28" width="24.6328125" style="749" customWidth="1"/>
    <col min="29" max="30" width="27.6328125" style="749" customWidth="1"/>
    <col min="31" max="31" width="29.54296875" style="749" customWidth="1"/>
    <col min="32" max="32" width="27.6328125" style="749" customWidth="1"/>
    <col min="33" max="33" width="32" style="749" customWidth="1"/>
    <col min="34" max="34" width="29.08984375" style="749" customWidth="1"/>
    <col min="35" max="35" width="30" style="749" customWidth="1"/>
    <col min="36" max="36" width="26.6328125" style="749" customWidth="1"/>
    <col min="37" max="37" width="30.54296875" style="749" customWidth="1"/>
    <col min="38" max="38" width="29.90625" style="749" customWidth="1"/>
    <col min="39" max="39" width="29.08984375" style="749" customWidth="1"/>
    <col min="40" max="40" width="24.08984375" style="749" customWidth="1"/>
    <col min="41" max="41" width="24" style="748" customWidth="1"/>
    <col min="42" max="42" width="23.08984375" style="749" customWidth="1"/>
    <col min="43" max="43" width="32.08984375" style="749" customWidth="1"/>
    <col min="44" max="44" width="25.453125" style="749" customWidth="1"/>
    <col min="45" max="45" width="26.08984375" style="749" customWidth="1"/>
    <col min="46" max="46" width="29.6328125" style="749" customWidth="1"/>
    <col min="47" max="47" width="27.08984375" style="749" customWidth="1"/>
    <col min="48" max="48" width="31.6328125" style="749" customWidth="1"/>
    <col min="49" max="49" width="32" style="749" customWidth="1"/>
    <col min="50" max="50" width="28.453125" style="748" customWidth="1"/>
    <col min="51" max="51" width="26.6328125" style="747" customWidth="1"/>
    <col min="52" max="52" width="24.08984375" style="747" customWidth="1"/>
    <col min="53" max="53" width="23.453125" style="747" customWidth="1"/>
    <col min="54" max="54" width="11.453125" style="747"/>
    <col min="55" max="55" width="17.08984375" style="746" customWidth="1"/>
    <col min="56" max="56" width="17.36328125" style="746" customWidth="1"/>
    <col min="57" max="57" width="14.453125" style="746" customWidth="1"/>
    <col min="58" max="58" width="16" style="746" customWidth="1"/>
    <col min="59" max="59" width="17.6328125" style="746" customWidth="1"/>
    <col min="60" max="60" width="16.36328125" style="746" customWidth="1"/>
  </cols>
  <sheetData>
    <row r="1" spans="1:124" x14ac:dyDescent="0.4">
      <c r="AO1" s="749"/>
    </row>
    <row r="2" spans="1:124" ht="40.5" customHeight="1" x14ac:dyDescent="0.35">
      <c r="A2" s="1462" t="s">
        <v>1475</v>
      </c>
      <c r="B2" s="1462"/>
      <c r="C2" s="1462"/>
      <c r="D2" s="1462"/>
      <c r="E2" s="1462"/>
      <c r="F2" s="1462"/>
      <c r="G2" s="1462"/>
      <c r="H2" s="1462"/>
      <c r="I2" s="1462"/>
      <c r="J2" s="1462"/>
      <c r="K2" s="1462"/>
      <c r="L2" s="1462"/>
      <c r="M2" s="1462"/>
      <c r="N2" s="1462"/>
      <c r="O2" s="1462"/>
      <c r="P2" s="1462"/>
      <c r="Q2" s="1462"/>
      <c r="R2" s="1462"/>
      <c r="S2" s="1462"/>
      <c r="T2" s="1462"/>
      <c r="U2" s="1462"/>
      <c r="V2" s="1462"/>
      <c r="W2" s="1462"/>
      <c r="X2" s="1462"/>
      <c r="Y2" s="1462"/>
      <c r="Z2" s="1462"/>
      <c r="AA2" s="1462"/>
      <c r="AB2" s="1462"/>
      <c r="AC2" s="1462"/>
      <c r="AD2" s="1462"/>
      <c r="AE2" s="1462"/>
      <c r="AF2" s="1462"/>
      <c r="AG2" s="1462"/>
      <c r="AH2" s="1462"/>
      <c r="AI2" s="1462"/>
      <c r="AJ2" s="1462"/>
      <c r="AK2" s="1462"/>
      <c r="AL2" s="1462"/>
      <c r="AM2" s="1462"/>
      <c r="AN2" s="1462"/>
      <c r="AO2" s="1462"/>
      <c r="AP2" s="1462"/>
      <c r="AQ2" s="1462"/>
      <c r="AR2" s="1462"/>
      <c r="AS2" s="1462"/>
      <c r="AT2" s="1462"/>
      <c r="AU2" s="1462"/>
      <c r="AV2" s="1462"/>
      <c r="AW2" s="1462"/>
      <c r="AX2" s="1462"/>
      <c r="AY2" s="1462"/>
      <c r="AZ2" s="1462"/>
      <c r="BA2" s="1462"/>
      <c r="BB2" s="1462"/>
      <c r="BC2" s="1462"/>
      <c r="BD2" s="1462"/>
      <c r="BE2" s="1462"/>
      <c r="BF2" s="1462"/>
      <c r="BG2" s="1462"/>
      <c r="BH2" s="1462"/>
    </row>
    <row r="3" spans="1:124" x14ac:dyDescent="0.4">
      <c r="AO3" s="749"/>
    </row>
    <row r="4" spans="1:124" s="806" customFormat="1" ht="44.25" customHeight="1" x14ac:dyDescent="0.35">
      <c r="A4" s="1463" t="s">
        <v>1474</v>
      </c>
      <c r="B4" s="1464"/>
      <c r="C4" s="1464"/>
      <c r="D4" s="1465"/>
      <c r="E4" s="1472" t="s">
        <v>1473</v>
      </c>
      <c r="F4" s="1475" t="s">
        <v>1472</v>
      </c>
      <c r="G4" s="1476"/>
      <c r="H4" s="1476"/>
      <c r="I4" s="1476"/>
      <c r="J4" s="1476"/>
      <c r="K4" s="1476"/>
      <c r="L4" s="1476"/>
      <c r="M4" s="1476"/>
      <c r="N4" s="1476"/>
      <c r="O4" s="1476"/>
      <c r="P4" s="1476"/>
      <c r="Q4" s="1476"/>
      <c r="R4" s="1476"/>
      <c r="S4" s="1476"/>
      <c r="T4" s="1476"/>
      <c r="U4" s="1476"/>
      <c r="V4" s="1476"/>
      <c r="W4" s="1476"/>
      <c r="X4" s="1476"/>
      <c r="Y4" s="1476"/>
      <c r="Z4" s="1476"/>
      <c r="AA4" s="1476"/>
      <c r="AB4" s="1476"/>
      <c r="AC4" s="1476"/>
      <c r="AD4" s="1476"/>
      <c r="AE4" s="1476"/>
      <c r="AF4" s="1476"/>
      <c r="AG4" s="1476"/>
      <c r="AH4" s="1476"/>
      <c r="AI4" s="1476"/>
      <c r="AJ4" s="1476"/>
      <c r="AK4" s="1476"/>
      <c r="AL4" s="1476"/>
      <c r="AM4" s="1476"/>
      <c r="AN4" s="1476"/>
      <c r="AO4" s="1476"/>
      <c r="AP4" s="1476"/>
      <c r="AQ4" s="1476"/>
      <c r="AR4" s="1476"/>
      <c r="AS4" s="1476"/>
      <c r="AT4" s="1476"/>
      <c r="AU4" s="1476"/>
      <c r="AV4" s="1476"/>
      <c r="AW4" s="1476"/>
      <c r="AX4" s="1476"/>
      <c r="AY4" s="1476"/>
      <c r="AZ4" s="1476"/>
      <c r="BA4" s="1477"/>
      <c r="BB4" s="747"/>
      <c r="BC4" s="1478" t="s">
        <v>1471</v>
      </c>
      <c r="BD4" s="1478"/>
      <c r="BE4" s="1478"/>
      <c r="BF4" s="1478"/>
      <c r="BG4" s="1478"/>
      <c r="BH4" s="1478"/>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row>
    <row r="5" spans="1:124" s="806" customFormat="1" ht="39.75" customHeight="1" x14ac:dyDescent="0.35">
      <c r="A5" s="1466"/>
      <c r="B5" s="1467"/>
      <c r="C5" s="1467"/>
      <c r="D5" s="1468"/>
      <c r="E5" s="1473"/>
      <c r="F5" s="1457" t="s">
        <v>1470</v>
      </c>
      <c r="G5" s="1457"/>
      <c r="H5" s="1457"/>
      <c r="I5" s="1457"/>
      <c r="J5" s="1457"/>
      <c r="K5" s="1457"/>
      <c r="L5" s="1457"/>
      <c r="M5" s="1457"/>
      <c r="N5" s="1457"/>
      <c r="O5" s="1479" t="s">
        <v>1469</v>
      </c>
      <c r="P5" s="1480"/>
      <c r="Q5" s="1481"/>
      <c r="R5" s="1457" t="s">
        <v>1468</v>
      </c>
      <c r="S5" s="1457"/>
      <c r="T5" s="1457"/>
      <c r="U5" s="1457"/>
      <c r="V5" s="1457"/>
      <c r="W5" s="1457"/>
      <c r="X5" s="1457"/>
      <c r="Y5" s="1457"/>
      <c r="Z5" s="1457"/>
      <c r="AA5" s="1457"/>
      <c r="AB5" s="1457"/>
      <c r="AC5" s="1457"/>
      <c r="AD5" s="1457"/>
      <c r="AE5" s="1457"/>
      <c r="AF5" s="1457"/>
      <c r="AG5" s="1457"/>
      <c r="AH5" s="1444" t="s">
        <v>1467</v>
      </c>
      <c r="AI5" s="1482"/>
      <c r="AJ5" s="1482"/>
      <c r="AK5" s="1482"/>
      <c r="AL5" s="1482"/>
      <c r="AM5" s="1482"/>
      <c r="AN5" s="1445"/>
      <c r="AO5" s="883" t="s">
        <v>1466</v>
      </c>
      <c r="AP5" s="882"/>
      <c r="AQ5" s="882"/>
      <c r="AR5" s="882"/>
      <c r="AS5" s="882"/>
      <c r="AT5" s="881"/>
      <c r="AU5" s="880"/>
      <c r="AV5" s="1483" t="s">
        <v>1465</v>
      </c>
      <c r="AW5" s="1484"/>
      <c r="AX5" s="1490" t="s">
        <v>281</v>
      </c>
      <c r="AY5" s="1491"/>
      <c r="AZ5" s="1491"/>
      <c r="BA5" s="1492"/>
      <c r="BB5" s="747"/>
      <c r="BC5" s="1478"/>
      <c r="BD5" s="1478"/>
      <c r="BE5" s="1478"/>
      <c r="BF5" s="1478"/>
      <c r="BG5" s="1478"/>
      <c r="BH5" s="1478"/>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row>
    <row r="6" spans="1:124" s="806" customFormat="1" ht="53.25" customHeight="1" x14ac:dyDescent="0.35">
      <c r="A6" s="1469"/>
      <c r="B6" s="1470"/>
      <c r="C6" s="1470"/>
      <c r="D6" s="1471"/>
      <c r="E6" s="1473"/>
      <c r="F6" s="1457" t="s">
        <v>1464</v>
      </c>
      <c r="G6" s="1457"/>
      <c r="H6" s="1457"/>
      <c r="I6" s="1457"/>
      <c r="J6" s="1457"/>
      <c r="K6" s="1457"/>
      <c r="L6" s="1457" t="s">
        <v>1463</v>
      </c>
      <c r="M6" s="1457"/>
      <c r="N6" s="879"/>
      <c r="O6" s="1458" t="s">
        <v>1462</v>
      </c>
      <c r="P6" s="1458" t="s">
        <v>1461</v>
      </c>
      <c r="Q6" s="1460" t="s">
        <v>1460</v>
      </c>
      <c r="R6" s="1446" t="s">
        <v>1459</v>
      </c>
      <c r="S6" s="1447"/>
      <c r="T6" s="1447"/>
      <c r="U6" s="1448"/>
      <c r="V6" s="1446" t="s">
        <v>1458</v>
      </c>
      <c r="W6" s="1447"/>
      <c r="X6" s="1447"/>
      <c r="Y6" s="1447"/>
      <c r="Z6" s="1448"/>
      <c r="AA6" s="1446" t="s">
        <v>1457</v>
      </c>
      <c r="AB6" s="1447"/>
      <c r="AC6" s="1448"/>
      <c r="AD6" s="1446" t="s">
        <v>1456</v>
      </c>
      <c r="AE6" s="1447"/>
      <c r="AF6" s="1448"/>
      <c r="AG6" s="1441" t="s">
        <v>1455</v>
      </c>
      <c r="AH6" s="1443" t="s">
        <v>1454</v>
      </c>
      <c r="AI6" s="1443"/>
      <c r="AJ6" s="1444"/>
      <c r="AK6" s="1445" t="s">
        <v>1453</v>
      </c>
      <c r="AL6" s="1443"/>
      <c r="AM6" s="1444"/>
      <c r="AN6" s="1455" t="s">
        <v>1452</v>
      </c>
      <c r="AO6" s="1446" t="s">
        <v>1451</v>
      </c>
      <c r="AP6" s="1447"/>
      <c r="AQ6" s="1447"/>
      <c r="AR6" s="1448"/>
      <c r="AS6" s="1488" t="s">
        <v>1450</v>
      </c>
      <c r="AT6" s="1489"/>
      <c r="AU6" s="1441" t="s">
        <v>1449</v>
      </c>
      <c r="AV6" s="1485"/>
      <c r="AW6" s="1486"/>
      <c r="AX6" s="1493"/>
      <c r="AY6" s="1494"/>
      <c r="AZ6" s="1494"/>
      <c r="BA6" s="1495"/>
      <c r="BB6" s="747"/>
      <c r="BC6" s="1487" t="s">
        <v>1448</v>
      </c>
      <c r="BD6" s="1487"/>
      <c r="BE6" s="1487"/>
      <c r="BF6" s="1487" t="s">
        <v>1447</v>
      </c>
      <c r="BG6" s="1487"/>
      <c r="BH6" s="1487"/>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row>
    <row r="7" spans="1:124" s="865" customFormat="1" ht="135" x14ac:dyDescent="0.55000000000000004">
      <c r="A7" s="878" t="s">
        <v>1446</v>
      </c>
      <c r="B7" s="878" t="s">
        <v>1168</v>
      </c>
      <c r="C7" s="878" t="s">
        <v>1445</v>
      </c>
      <c r="D7" s="878" t="s">
        <v>1444</v>
      </c>
      <c r="E7" s="1474"/>
      <c r="F7" s="877" t="s">
        <v>1443</v>
      </c>
      <c r="G7" s="877" t="s">
        <v>1442</v>
      </c>
      <c r="H7" s="877" t="s">
        <v>1441</v>
      </c>
      <c r="I7" s="877" t="s">
        <v>1440</v>
      </c>
      <c r="J7" s="877" t="s">
        <v>1439</v>
      </c>
      <c r="K7" s="876" t="s">
        <v>1438</v>
      </c>
      <c r="L7" s="877" t="s">
        <v>1437</v>
      </c>
      <c r="M7" s="876" t="s">
        <v>1436</v>
      </c>
      <c r="N7" s="875" t="s">
        <v>1435</v>
      </c>
      <c r="O7" s="1459"/>
      <c r="P7" s="1459"/>
      <c r="Q7" s="1461"/>
      <c r="R7" s="872" t="s">
        <v>1434</v>
      </c>
      <c r="S7" s="872" t="s">
        <v>1433</v>
      </c>
      <c r="T7" s="872" t="s">
        <v>1432</v>
      </c>
      <c r="U7" s="874" t="s">
        <v>1431</v>
      </c>
      <c r="V7" s="872" t="s">
        <v>1430</v>
      </c>
      <c r="W7" s="872" t="s">
        <v>1429</v>
      </c>
      <c r="X7" s="872" t="s">
        <v>1428</v>
      </c>
      <c r="Y7" s="872" t="s">
        <v>1427</v>
      </c>
      <c r="Z7" s="874" t="s">
        <v>1426</v>
      </c>
      <c r="AA7" s="872" t="s">
        <v>1425</v>
      </c>
      <c r="AB7" s="872" t="s">
        <v>1424</v>
      </c>
      <c r="AC7" s="874" t="s">
        <v>1423</v>
      </c>
      <c r="AD7" s="872" t="s">
        <v>1422</v>
      </c>
      <c r="AE7" s="872" t="s">
        <v>1421</v>
      </c>
      <c r="AF7" s="874" t="s">
        <v>1420</v>
      </c>
      <c r="AG7" s="1442"/>
      <c r="AH7" s="838" t="s">
        <v>1419</v>
      </c>
      <c r="AI7" s="838" t="s">
        <v>1418</v>
      </c>
      <c r="AJ7" s="873" t="s">
        <v>1417</v>
      </c>
      <c r="AK7" s="838" t="s">
        <v>1416</v>
      </c>
      <c r="AL7" s="838" t="s">
        <v>1415</v>
      </c>
      <c r="AM7" s="873" t="s">
        <v>1414</v>
      </c>
      <c r="AN7" s="1456"/>
      <c r="AO7" s="872" t="s">
        <v>1413</v>
      </c>
      <c r="AP7" s="872" t="s">
        <v>1412</v>
      </c>
      <c r="AQ7" s="872" t="s">
        <v>1411</v>
      </c>
      <c r="AR7" s="872" t="s">
        <v>1410</v>
      </c>
      <c r="AS7" s="872" t="s">
        <v>1409</v>
      </c>
      <c r="AT7" s="872" t="s">
        <v>1408</v>
      </c>
      <c r="AU7" s="1442"/>
      <c r="AV7" s="871" t="s">
        <v>1407</v>
      </c>
      <c r="AW7" s="870" t="s">
        <v>1406</v>
      </c>
      <c r="AX7" s="867" t="s">
        <v>1405</v>
      </c>
      <c r="AY7" s="869" t="s">
        <v>1404</v>
      </c>
      <c r="AZ7" s="868"/>
      <c r="BA7" s="867" t="s">
        <v>1403</v>
      </c>
      <c r="BB7" s="805"/>
      <c r="BC7" s="866" t="s">
        <v>1401</v>
      </c>
      <c r="BD7" s="866" t="s">
        <v>1402</v>
      </c>
      <c r="BE7" s="866" t="s">
        <v>282</v>
      </c>
      <c r="BF7" s="866" t="s">
        <v>1401</v>
      </c>
      <c r="BG7" s="866" t="s">
        <v>1400</v>
      </c>
      <c r="BH7" s="866" t="s">
        <v>282</v>
      </c>
    </row>
    <row r="8" spans="1:124" ht="82" x14ac:dyDescent="0.65">
      <c r="A8" s="840">
        <v>1</v>
      </c>
      <c r="B8" s="839" t="s">
        <v>890</v>
      </c>
      <c r="C8" s="838" t="s">
        <v>1399</v>
      </c>
      <c r="D8" s="838" t="s">
        <v>1152</v>
      </c>
      <c r="E8" s="858" t="s">
        <v>1151</v>
      </c>
      <c r="F8" s="830"/>
      <c r="G8" s="830"/>
      <c r="H8" s="830">
        <v>18873.34</v>
      </c>
      <c r="I8" s="830"/>
      <c r="J8" s="830"/>
      <c r="K8" s="832">
        <f t="shared" ref="K8:K23" si="0">SUM(F8:J8)</f>
        <v>18873.34</v>
      </c>
      <c r="L8" s="833">
        <v>5615.78</v>
      </c>
      <c r="M8" s="832">
        <f t="shared" ref="M8:M23" si="1">SUM(L8)</f>
        <v>5615.78</v>
      </c>
      <c r="N8" s="831">
        <f t="shared" ref="N8:N23" si="2">SUM(K8+M8)</f>
        <v>24489.119999999999</v>
      </c>
      <c r="O8" s="833">
        <v>2000</v>
      </c>
      <c r="P8" s="833"/>
      <c r="Q8" s="841">
        <f t="shared" ref="Q8:Q23" si="3">SUM(O8:P8)</f>
        <v>2000</v>
      </c>
      <c r="R8" s="830"/>
      <c r="S8" s="830"/>
      <c r="T8" s="830"/>
      <c r="U8" s="832">
        <f t="shared" ref="U8:U23" si="4">SUM(R8:T8)</f>
        <v>0</v>
      </c>
      <c r="V8" s="830"/>
      <c r="W8" s="830">
        <v>1276.25</v>
      </c>
      <c r="X8" s="830"/>
      <c r="Y8" s="830"/>
      <c r="Z8" s="832">
        <f t="shared" ref="Z8:Z23" si="5">SUM(V8:Y8)</f>
        <v>1276.25</v>
      </c>
      <c r="AA8" s="830"/>
      <c r="AB8" s="830"/>
      <c r="AC8" s="832">
        <f t="shared" ref="AC8:AC23" si="6">SUM(AA8:AB8)</f>
        <v>0</v>
      </c>
      <c r="AD8" s="830"/>
      <c r="AE8" s="830"/>
      <c r="AF8" s="832">
        <f t="shared" ref="AF8:AF23" si="7">SUM(AD8:AE8)</f>
        <v>0</v>
      </c>
      <c r="AG8" s="831">
        <f t="shared" ref="AG8:AG23" si="8">SUM(U8+Z8+AC8+AF8)</f>
        <v>1276.25</v>
      </c>
      <c r="AH8" s="830">
        <v>1680</v>
      </c>
      <c r="AI8" s="830"/>
      <c r="AJ8" s="832">
        <f t="shared" ref="AJ8:AJ23" si="9">SUM(AH8:AI8)</f>
        <v>1680</v>
      </c>
      <c r="AK8" s="830"/>
      <c r="AL8" s="830"/>
      <c r="AM8" s="832">
        <f t="shared" ref="AM8:AM23" si="10">SUM(AK8:AL8)</f>
        <v>0</v>
      </c>
      <c r="AN8" s="831">
        <f t="shared" ref="AN8:AN23" si="11">SUM(AJ8+AM8)</f>
        <v>1680</v>
      </c>
      <c r="AO8" s="830"/>
      <c r="AP8" s="833"/>
      <c r="AQ8" s="830"/>
      <c r="AR8" s="832">
        <f t="shared" ref="AR8:AR23" si="12">SUM(AO8:AQ8)</f>
        <v>0</v>
      </c>
      <c r="AS8" s="830"/>
      <c r="AT8" s="832">
        <f t="shared" ref="AT8:AT23" si="13">SUM(AS8)</f>
        <v>0</v>
      </c>
      <c r="AU8" s="831">
        <f t="shared" ref="AU8:AU23" si="14">AR8+AT8</f>
        <v>0</v>
      </c>
      <c r="AV8" s="830">
        <v>750</v>
      </c>
      <c r="AW8" s="831">
        <f t="shared" ref="AW8:AW23" si="15">SUM(AV8)</f>
        <v>750</v>
      </c>
      <c r="AX8" s="830">
        <f t="shared" ref="AX8:AX23" si="16">SUM(AN8+AW8+AG8+Q8+AU8+N8)</f>
        <v>30195.37</v>
      </c>
      <c r="AY8" s="829">
        <v>30195.37</v>
      </c>
      <c r="AZ8" s="827" t="b">
        <f t="shared" ref="AZ8:AZ23" si="17">AY8=AX8</f>
        <v>1</v>
      </c>
      <c r="BA8" s="828">
        <f t="shared" ref="BA8:BA23" si="18">AX8/$AX$49</f>
        <v>4.9748841040849319E-2</v>
      </c>
      <c r="BB8" s="827"/>
      <c r="BC8" s="826">
        <v>16</v>
      </c>
      <c r="BD8" s="826">
        <v>0</v>
      </c>
      <c r="BE8" s="826">
        <f t="shared" ref="BE8:BE23" si="19">BC8+BD8</f>
        <v>16</v>
      </c>
      <c r="BF8" s="826">
        <v>450</v>
      </c>
      <c r="BG8" s="826">
        <v>0</v>
      </c>
      <c r="BH8" s="826">
        <f t="shared" ref="BH8:BH23" si="20">BG8+BF8</f>
        <v>450</v>
      </c>
    </row>
    <row r="9" spans="1:124" ht="134.25" customHeight="1" x14ac:dyDescent="0.65">
      <c r="A9" s="840">
        <f t="shared" ref="A9:A23" si="21">A8+1</f>
        <v>2</v>
      </c>
      <c r="B9" s="845" t="s">
        <v>890</v>
      </c>
      <c r="C9" s="845" t="s">
        <v>1399</v>
      </c>
      <c r="D9" s="838" t="s">
        <v>1156</v>
      </c>
      <c r="E9" s="837" t="s">
        <v>1155</v>
      </c>
      <c r="F9" s="830"/>
      <c r="G9" s="830"/>
      <c r="H9" s="830"/>
      <c r="I9" s="830"/>
      <c r="J9" s="830"/>
      <c r="K9" s="832">
        <f t="shared" si="0"/>
        <v>0</v>
      </c>
      <c r="L9" s="833">
        <v>6738.01</v>
      </c>
      <c r="M9" s="832">
        <f t="shared" si="1"/>
        <v>6738.01</v>
      </c>
      <c r="N9" s="831">
        <f t="shared" si="2"/>
        <v>6738.01</v>
      </c>
      <c r="O9" s="864"/>
      <c r="P9" s="864"/>
      <c r="Q9" s="841">
        <f t="shared" si="3"/>
        <v>0</v>
      </c>
      <c r="R9" s="830"/>
      <c r="S9" s="830"/>
      <c r="T9" s="830"/>
      <c r="U9" s="832">
        <f t="shared" si="4"/>
        <v>0</v>
      </c>
      <c r="V9" s="830"/>
      <c r="W9" s="830">
        <v>436.99</v>
      </c>
      <c r="X9" s="833"/>
      <c r="Y9" s="830"/>
      <c r="Z9" s="832">
        <f t="shared" si="5"/>
        <v>436.99</v>
      </c>
      <c r="AA9" s="833">
        <v>395</v>
      </c>
      <c r="AB9" s="830"/>
      <c r="AC9" s="832">
        <f t="shared" si="6"/>
        <v>395</v>
      </c>
      <c r="AD9" s="833"/>
      <c r="AE9" s="830"/>
      <c r="AF9" s="832">
        <f t="shared" si="7"/>
        <v>0</v>
      </c>
      <c r="AG9" s="831">
        <f t="shared" si="8"/>
        <v>831.99</v>
      </c>
      <c r="AH9" s="833">
        <v>1680</v>
      </c>
      <c r="AI9" s="830"/>
      <c r="AJ9" s="832">
        <f t="shared" si="9"/>
        <v>1680</v>
      </c>
      <c r="AK9" s="830"/>
      <c r="AL9" s="833"/>
      <c r="AM9" s="832">
        <f t="shared" si="10"/>
        <v>0</v>
      </c>
      <c r="AN9" s="831">
        <f t="shared" si="11"/>
        <v>1680</v>
      </c>
      <c r="AO9" s="833"/>
      <c r="AP9" s="833"/>
      <c r="AQ9" s="830"/>
      <c r="AR9" s="832">
        <f t="shared" si="12"/>
        <v>0</v>
      </c>
      <c r="AS9" s="830"/>
      <c r="AT9" s="832">
        <f t="shared" si="13"/>
        <v>0</v>
      </c>
      <c r="AU9" s="831">
        <f t="shared" si="14"/>
        <v>0</v>
      </c>
      <c r="AV9" s="830">
        <v>750</v>
      </c>
      <c r="AW9" s="831">
        <f t="shared" si="15"/>
        <v>750</v>
      </c>
      <c r="AX9" s="830">
        <f t="shared" si="16"/>
        <v>10000</v>
      </c>
      <c r="AY9" s="829">
        <v>10000</v>
      </c>
      <c r="AZ9" s="827" t="b">
        <f t="shared" si="17"/>
        <v>1</v>
      </c>
      <c r="BA9" s="828">
        <f t="shared" si="18"/>
        <v>1.6475652075417298E-2</v>
      </c>
      <c r="BB9" s="827"/>
      <c r="BC9" s="826">
        <v>10</v>
      </c>
      <c r="BD9" s="826">
        <v>0</v>
      </c>
      <c r="BE9" s="826">
        <f t="shared" si="19"/>
        <v>10</v>
      </c>
      <c r="BF9" s="826">
        <v>158</v>
      </c>
      <c r="BG9" s="826">
        <v>0</v>
      </c>
      <c r="BH9" s="826">
        <f t="shared" si="20"/>
        <v>158</v>
      </c>
    </row>
    <row r="10" spans="1:124" ht="114" customHeight="1" x14ac:dyDescent="0.65">
      <c r="A10" s="840">
        <f t="shared" si="21"/>
        <v>3</v>
      </c>
      <c r="B10" s="839" t="s">
        <v>890</v>
      </c>
      <c r="C10" s="838" t="s">
        <v>1399</v>
      </c>
      <c r="D10" s="838" t="s">
        <v>1154</v>
      </c>
      <c r="E10" s="837" t="s">
        <v>1153</v>
      </c>
      <c r="F10" s="830"/>
      <c r="G10" s="830"/>
      <c r="H10" s="830"/>
      <c r="I10" s="830"/>
      <c r="J10" s="830"/>
      <c r="K10" s="832">
        <f t="shared" si="0"/>
        <v>0</v>
      </c>
      <c r="L10" s="830"/>
      <c r="M10" s="832">
        <f t="shared" si="1"/>
        <v>0</v>
      </c>
      <c r="N10" s="831">
        <f t="shared" si="2"/>
        <v>0</v>
      </c>
      <c r="O10" s="833">
        <v>2000</v>
      </c>
      <c r="P10" s="833"/>
      <c r="Q10" s="841">
        <f t="shared" si="3"/>
        <v>2000</v>
      </c>
      <c r="R10" s="830"/>
      <c r="S10" s="830"/>
      <c r="T10" s="830"/>
      <c r="U10" s="832">
        <f t="shared" si="4"/>
        <v>0</v>
      </c>
      <c r="V10" s="830"/>
      <c r="W10" s="830"/>
      <c r="X10" s="830">
        <v>244.8</v>
      </c>
      <c r="Y10" s="830"/>
      <c r="Z10" s="832">
        <f t="shared" si="5"/>
        <v>244.8</v>
      </c>
      <c r="AA10" s="830"/>
      <c r="AB10" s="830"/>
      <c r="AC10" s="832">
        <f t="shared" si="6"/>
        <v>0</v>
      </c>
      <c r="AD10" s="830">
        <v>4522</v>
      </c>
      <c r="AE10" s="830">
        <v>2363.5100000000002</v>
      </c>
      <c r="AF10" s="832">
        <f t="shared" si="7"/>
        <v>6885.51</v>
      </c>
      <c r="AG10" s="831">
        <f t="shared" si="8"/>
        <v>7130.31</v>
      </c>
      <c r="AH10" s="830">
        <v>840</v>
      </c>
      <c r="AI10" s="830"/>
      <c r="AJ10" s="832">
        <f t="shared" si="9"/>
        <v>840</v>
      </c>
      <c r="AK10" s="830"/>
      <c r="AL10" s="830"/>
      <c r="AM10" s="832">
        <f t="shared" si="10"/>
        <v>0</v>
      </c>
      <c r="AN10" s="831">
        <f t="shared" si="11"/>
        <v>840</v>
      </c>
      <c r="AO10" s="833"/>
      <c r="AP10" s="830"/>
      <c r="AQ10" s="830"/>
      <c r="AR10" s="832">
        <f t="shared" si="12"/>
        <v>0</v>
      </c>
      <c r="AS10" s="830"/>
      <c r="AT10" s="832">
        <f t="shared" si="13"/>
        <v>0</v>
      </c>
      <c r="AU10" s="831">
        <f t="shared" si="14"/>
        <v>0</v>
      </c>
      <c r="AV10" s="830">
        <v>750</v>
      </c>
      <c r="AW10" s="831">
        <f t="shared" si="15"/>
        <v>750</v>
      </c>
      <c r="AX10" s="830">
        <f t="shared" si="16"/>
        <v>10720.310000000001</v>
      </c>
      <c r="AY10" s="829">
        <v>10720.32</v>
      </c>
      <c r="AZ10" s="827" t="b">
        <f t="shared" si="17"/>
        <v>0</v>
      </c>
      <c r="BA10" s="828">
        <f t="shared" si="18"/>
        <v>1.7662409770061682E-2</v>
      </c>
      <c r="BB10" s="827"/>
      <c r="BC10" s="826">
        <v>9</v>
      </c>
      <c r="BD10" s="826">
        <v>0</v>
      </c>
      <c r="BE10" s="826">
        <f t="shared" si="19"/>
        <v>9</v>
      </c>
      <c r="BF10" s="826">
        <v>925</v>
      </c>
      <c r="BG10" s="826">
        <v>0</v>
      </c>
      <c r="BH10" s="826">
        <f t="shared" si="20"/>
        <v>925</v>
      </c>
    </row>
    <row r="11" spans="1:124" ht="41" x14ac:dyDescent="0.65">
      <c r="A11" s="840">
        <f t="shared" si="21"/>
        <v>4</v>
      </c>
      <c r="B11" s="863" t="s">
        <v>890</v>
      </c>
      <c r="C11" s="863" t="s">
        <v>1399</v>
      </c>
      <c r="D11" s="840" t="s">
        <v>1158</v>
      </c>
      <c r="E11" s="837" t="s">
        <v>1157</v>
      </c>
      <c r="F11" s="830"/>
      <c r="G11" s="830"/>
      <c r="H11" s="830"/>
      <c r="I11" s="830"/>
      <c r="J11" s="830"/>
      <c r="K11" s="832">
        <f t="shared" si="0"/>
        <v>0</v>
      </c>
      <c r="L11" s="833">
        <v>4192.87</v>
      </c>
      <c r="M11" s="832">
        <f t="shared" si="1"/>
        <v>4192.87</v>
      </c>
      <c r="N11" s="831">
        <f t="shared" si="2"/>
        <v>4192.87</v>
      </c>
      <c r="O11" s="833"/>
      <c r="P11" s="833"/>
      <c r="Q11" s="841">
        <f t="shared" si="3"/>
        <v>0</v>
      </c>
      <c r="R11" s="830"/>
      <c r="S11" s="830"/>
      <c r="T11" s="830"/>
      <c r="U11" s="832">
        <f t="shared" si="4"/>
        <v>0</v>
      </c>
      <c r="V11" s="842"/>
      <c r="W11" s="833">
        <v>1130</v>
      </c>
      <c r="X11" s="830"/>
      <c r="Y11" s="830"/>
      <c r="Z11" s="832">
        <f t="shared" si="5"/>
        <v>1130</v>
      </c>
      <c r="AA11" s="830">
        <v>4570.5</v>
      </c>
      <c r="AB11" s="830"/>
      <c r="AC11" s="832">
        <f t="shared" si="6"/>
        <v>4570.5</v>
      </c>
      <c r="AD11" s="830"/>
      <c r="AE11" s="833"/>
      <c r="AF11" s="832">
        <f t="shared" si="7"/>
        <v>0</v>
      </c>
      <c r="AG11" s="831">
        <f t="shared" si="8"/>
        <v>5700.5</v>
      </c>
      <c r="AH11" s="833">
        <v>840</v>
      </c>
      <c r="AI11" s="830"/>
      <c r="AJ11" s="832">
        <f t="shared" si="9"/>
        <v>840</v>
      </c>
      <c r="AK11" s="830"/>
      <c r="AL11" s="830"/>
      <c r="AM11" s="832">
        <f t="shared" si="10"/>
        <v>0</v>
      </c>
      <c r="AN11" s="831">
        <f t="shared" si="11"/>
        <v>840</v>
      </c>
      <c r="AO11" s="833"/>
      <c r="AP11" s="833"/>
      <c r="AQ11" s="830"/>
      <c r="AR11" s="832">
        <f t="shared" si="12"/>
        <v>0</v>
      </c>
      <c r="AS11" s="830"/>
      <c r="AT11" s="832">
        <f t="shared" si="13"/>
        <v>0</v>
      </c>
      <c r="AU11" s="831">
        <f t="shared" si="14"/>
        <v>0</v>
      </c>
      <c r="AV11" s="830">
        <v>750</v>
      </c>
      <c r="AW11" s="831">
        <f t="shared" si="15"/>
        <v>750</v>
      </c>
      <c r="AX11" s="862">
        <f t="shared" si="16"/>
        <v>11483.369999999999</v>
      </c>
      <c r="AY11" s="861">
        <v>11483.87</v>
      </c>
      <c r="AZ11" s="827" t="b">
        <f t="shared" si="17"/>
        <v>0</v>
      </c>
      <c r="BA11" s="860">
        <f t="shared" si="18"/>
        <v>1.8919600877328472E-2</v>
      </c>
      <c r="BB11" s="827"/>
      <c r="BC11" s="826">
        <v>8</v>
      </c>
      <c r="BD11" s="826">
        <v>0</v>
      </c>
      <c r="BE11" s="826">
        <f t="shared" si="19"/>
        <v>8</v>
      </c>
      <c r="BF11" s="826">
        <v>230</v>
      </c>
      <c r="BG11" s="826">
        <v>0</v>
      </c>
      <c r="BH11" s="826">
        <f t="shared" si="20"/>
        <v>230</v>
      </c>
    </row>
    <row r="12" spans="1:124" ht="90.75" customHeight="1" x14ac:dyDescent="0.65">
      <c r="A12" s="840">
        <f t="shared" si="21"/>
        <v>5</v>
      </c>
      <c r="B12" s="839" t="s">
        <v>890</v>
      </c>
      <c r="C12" s="838" t="s">
        <v>1398</v>
      </c>
      <c r="D12" s="838" t="s">
        <v>1134</v>
      </c>
      <c r="E12" s="837" t="s">
        <v>1133</v>
      </c>
      <c r="F12" s="830"/>
      <c r="G12" s="830"/>
      <c r="H12" s="830"/>
      <c r="I12" s="830"/>
      <c r="J12" s="830"/>
      <c r="K12" s="832">
        <f t="shared" si="0"/>
        <v>0</v>
      </c>
      <c r="L12" s="833">
        <v>8410</v>
      </c>
      <c r="M12" s="832">
        <f t="shared" si="1"/>
        <v>8410</v>
      </c>
      <c r="N12" s="831">
        <f t="shared" si="2"/>
        <v>8410</v>
      </c>
      <c r="O12" s="833"/>
      <c r="P12" s="833"/>
      <c r="Q12" s="841">
        <f t="shared" si="3"/>
        <v>0</v>
      </c>
      <c r="R12" s="830"/>
      <c r="S12" s="830"/>
      <c r="T12" s="830"/>
      <c r="U12" s="832">
        <f t="shared" si="4"/>
        <v>0</v>
      </c>
      <c r="V12" s="830"/>
      <c r="W12" s="830"/>
      <c r="X12" s="830"/>
      <c r="Y12" s="830"/>
      <c r="Z12" s="832">
        <f t="shared" si="5"/>
        <v>0</v>
      </c>
      <c r="AA12" s="830"/>
      <c r="AB12" s="830"/>
      <c r="AC12" s="832">
        <f t="shared" si="6"/>
        <v>0</v>
      </c>
      <c r="AD12" s="830"/>
      <c r="AE12" s="830"/>
      <c r="AF12" s="832">
        <f t="shared" si="7"/>
        <v>0</v>
      </c>
      <c r="AG12" s="831">
        <f t="shared" si="8"/>
        <v>0</v>
      </c>
      <c r="AH12" s="830">
        <v>840</v>
      </c>
      <c r="AI12" s="830"/>
      <c r="AJ12" s="832">
        <f t="shared" si="9"/>
        <v>840</v>
      </c>
      <c r="AK12" s="830"/>
      <c r="AL12" s="830"/>
      <c r="AM12" s="832">
        <f t="shared" si="10"/>
        <v>0</v>
      </c>
      <c r="AN12" s="831">
        <f t="shared" si="11"/>
        <v>840</v>
      </c>
      <c r="AO12" s="830"/>
      <c r="AP12" s="833"/>
      <c r="AQ12" s="830"/>
      <c r="AR12" s="832">
        <f t="shared" si="12"/>
        <v>0</v>
      </c>
      <c r="AS12" s="830"/>
      <c r="AT12" s="832">
        <f t="shared" si="13"/>
        <v>0</v>
      </c>
      <c r="AU12" s="831">
        <f t="shared" si="14"/>
        <v>0</v>
      </c>
      <c r="AV12" s="830">
        <v>750</v>
      </c>
      <c r="AW12" s="831">
        <f t="shared" si="15"/>
        <v>750</v>
      </c>
      <c r="AX12" s="830">
        <f t="shared" si="16"/>
        <v>10000</v>
      </c>
      <c r="AY12" s="829">
        <v>10000</v>
      </c>
      <c r="AZ12" s="827" t="b">
        <f t="shared" si="17"/>
        <v>1</v>
      </c>
      <c r="BA12" s="828">
        <f t="shared" si="18"/>
        <v>1.6475652075417298E-2</v>
      </c>
      <c r="BB12" s="827"/>
      <c r="BC12" s="826">
        <v>8</v>
      </c>
      <c r="BD12" s="826">
        <v>0</v>
      </c>
      <c r="BE12" s="826">
        <f t="shared" si="19"/>
        <v>8</v>
      </c>
      <c r="BF12" s="826">
        <v>212</v>
      </c>
      <c r="BG12" s="826">
        <v>0</v>
      </c>
      <c r="BH12" s="826">
        <f t="shared" si="20"/>
        <v>212</v>
      </c>
    </row>
    <row r="13" spans="1:124" ht="88.5" customHeight="1" x14ac:dyDescent="0.65">
      <c r="A13" s="840">
        <f t="shared" si="21"/>
        <v>6</v>
      </c>
      <c r="B13" s="839" t="s">
        <v>890</v>
      </c>
      <c r="C13" s="838" t="s">
        <v>1398</v>
      </c>
      <c r="D13" s="838" t="s">
        <v>1132</v>
      </c>
      <c r="E13" s="837" t="s">
        <v>1131</v>
      </c>
      <c r="F13" s="833">
        <v>9121.94</v>
      </c>
      <c r="G13" s="833"/>
      <c r="H13" s="833"/>
      <c r="I13" s="833"/>
      <c r="J13" s="833"/>
      <c r="K13" s="832">
        <f t="shared" si="0"/>
        <v>9121.94</v>
      </c>
      <c r="L13" s="830"/>
      <c r="M13" s="832">
        <f t="shared" si="1"/>
        <v>0</v>
      </c>
      <c r="N13" s="831">
        <f t="shared" si="2"/>
        <v>9121.94</v>
      </c>
      <c r="O13" s="833"/>
      <c r="P13" s="833"/>
      <c r="Q13" s="841">
        <f t="shared" si="3"/>
        <v>0</v>
      </c>
      <c r="R13" s="833"/>
      <c r="S13" s="830"/>
      <c r="T13" s="830"/>
      <c r="U13" s="832">
        <f t="shared" si="4"/>
        <v>0</v>
      </c>
      <c r="V13" s="830"/>
      <c r="W13" s="830">
        <v>1508</v>
      </c>
      <c r="X13" s="830"/>
      <c r="Y13" s="830"/>
      <c r="Z13" s="832">
        <f t="shared" si="5"/>
        <v>1508</v>
      </c>
      <c r="AA13" s="830"/>
      <c r="AB13" s="830"/>
      <c r="AC13" s="832">
        <f t="shared" si="6"/>
        <v>0</v>
      </c>
      <c r="AD13" s="830"/>
      <c r="AE13" s="830"/>
      <c r="AF13" s="832">
        <f t="shared" si="7"/>
        <v>0</v>
      </c>
      <c r="AG13" s="831">
        <f t="shared" si="8"/>
        <v>1508</v>
      </c>
      <c r="AH13" s="830">
        <v>1680</v>
      </c>
      <c r="AI13" s="830"/>
      <c r="AJ13" s="832">
        <f t="shared" si="9"/>
        <v>1680</v>
      </c>
      <c r="AK13" s="830"/>
      <c r="AL13" s="830"/>
      <c r="AM13" s="832">
        <f t="shared" si="10"/>
        <v>0</v>
      </c>
      <c r="AN13" s="831">
        <f t="shared" si="11"/>
        <v>1680</v>
      </c>
      <c r="AO13" s="830"/>
      <c r="AP13" s="830"/>
      <c r="AQ13" s="833"/>
      <c r="AR13" s="832">
        <f t="shared" si="12"/>
        <v>0</v>
      </c>
      <c r="AS13" s="833"/>
      <c r="AT13" s="832">
        <f t="shared" si="13"/>
        <v>0</v>
      </c>
      <c r="AU13" s="831">
        <f t="shared" si="14"/>
        <v>0</v>
      </c>
      <c r="AV13" s="830">
        <v>750</v>
      </c>
      <c r="AW13" s="831">
        <f t="shared" si="15"/>
        <v>750</v>
      </c>
      <c r="AX13" s="830">
        <f t="shared" si="16"/>
        <v>13059.94</v>
      </c>
      <c r="AY13" s="829">
        <v>13059.94</v>
      </c>
      <c r="AZ13" s="827" t="b">
        <f t="shared" si="17"/>
        <v>1</v>
      </c>
      <c r="BA13" s="828">
        <f t="shared" si="18"/>
        <v>2.1517102756582539E-2</v>
      </c>
      <c r="BB13" s="827"/>
      <c r="BC13" s="826">
        <v>6</v>
      </c>
      <c r="BD13" s="846">
        <v>0</v>
      </c>
      <c r="BE13" s="826">
        <f t="shared" si="19"/>
        <v>6</v>
      </c>
      <c r="BF13" s="826">
        <v>480</v>
      </c>
      <c r="BG13" s="846">
        <v>0</v>
      </c>
      <c r="BH13" s="826">
        <f t="shared" si="20"/>
        <v>480</v>
      </c>
    </row>
    <row r="14" spans="1:124" ht="90" x14ac:dyDescent="0.65">
      <c r="A14" s="840">
        <f t="shared" si="21"/>
        <v>7</v>
      </c>
      <c r="B14" s="839" t="s">
        <v>890</v>
      </c>
      <c r="C14" s="838" t="s">
        <v>1397</v>
      </c>
      <c r="D14" s="838" t="s">
        <v>1144</v>
      </c>
      <c r="E14" s="837" t="s">
        <v>1143</v>
      </c>
      <c r="F14" s="830">
        <v>9286.2000000000007</v>
      </c>
      <c r="G14" s="830"/>
      <c r="H14" s="830"/>
      <c r="I14" s="830"/>
      <c r="J14" s="830"/>
      <c r="K14" s="832">
        <f t="shared" si="0"/>
        <v>9286.2000000000007</v>
      </c>
      <c r="L14" s="833"/>
      <c r="M14" s="832">
        <f t="shared" si="1"/>
        <v>0</v>
      </c>
      <c r="N14" s="831">
        <f t="shared" si="2"/>
        <v>9286.2000000000007</v>
      </c>
      <c r="O14" s="833">
        <v>2000</v>
      </c>
      <c r="P14" s="833"/>
      <c r="Q14" s="841">
        <f t="shared" si="3"/>
        <v>2000</v>
      </c>
      <c r="R14" s="830"/>
      <c r="S14" s="830"/>
      <c r="T14" s="830">
        <v>5408</v>
      </c>
      <c r="U14" s="832">
        <f t="shared" si="4"/>
        <v>5408</v>
      </c>
      <c r="V14" s="833"/>
      <c r="W14" s="830"/>
      <c r="X14" s="830"/>
      <c r="Y14" s="830"/>
      <c r="Z14" s="832">
        <f t="shared" si="5"/>
        <v>0</v>
      </c>
      <c r="AA14" s="830">
        <v>1920</v>
      </c>
      <c r="AB14" s="830"/>
      <c r="AC14" s="832">
        <f t="shared" si="6"/>
        <v>1920</v>
      </c>
      <c r="AD14" s="830">
        <v>672</v>
      </c>
      <c r="AE14" s="830"/>
      <c r="AF14" s="832">
        <f t="shared" si="7"/>
        <v>672</v>
      </c>
      <c r="AG14" s="831">
        <f t="shared" si="8"/>
        <v>8000</v>
      </c>
      <c r="AH14" s="843">
        <v>1500</v>
      </c>
      <c r="AI14" s="830"/>
      <c r="AJ14" s="832">
        <f t="shared" si="9"/>
        <v>1500</v>
      </c>
      <c r="AK14" s="830"/>
      <c r="AL14" s="830"/>
      <c r="AM14" s="832">
        <f t="shared" si="10"/>
        <v>0</v>
      </c>
      <c r="AN14" s="831">
        <f t="shared" si="11"/>
        <v>1500</v>
      </c>
      <c r="AO14" s="830"/>
      <c r="AP14" s="830"/>
      <c r="AQ14" s="830"/>
      <c r="AR14" s="832">
        <f t="shared" si="12"/>
        <v>0</v>
      </c>
      <c r="AS14" s="830"/>
      <c r="AT14" s="832">
        <f t="shared" si="13"/>
        <v>0</v>
      </c>
      <c r="AU14" s="831">
        <f t="shared" si="14"/>
        <v>0</v>
      </c>
      <c r="AV14" s="830"/>
      <c r="AW14" s="831">
        <f t="shared" si="15"/>
        <v>0</v>
      </c>
      <c r="AX14" s="830">
        <f t="shared" si="16"/>
        <v>20786.2</v>
      </c>
      <c r="AY14" s="829">
        <v>20786.82</v>
      </c>
      <c r="AZ14" s="827" t="b">
        <f t="shared" si="17"/>
        <v>0</v>
      </c>
      <c r="BA14" s="828">
        <f t="shared" si="18"/>
        <v>3.4246619917003902E-2</v>
      </c>
      <c r="BB14" s="827"/>
      <c r="BC14" s="826">
        <v>7</v>
      </c>
      <c r="BD14" s="826">
        <v>0</v>
      </c>
      <c r="BE14" s="826">
        <f t="shared" si="19"/>
        <v>7</v>
      </c>
      <c r="BF14" s="826">
        <v>249</v>
      </c>
      <c r="BG14" s="846">
        <v>0</v>
      </c>
      <c r="BH14" s="826">
        <f t="shared" si="20"/>
        <v>249</v>
      </c>
    </row>
    <row r="15" spans="1:124" ht="61.5" x14ac:dyDescent="0.65">
      <c r="A15" s="840">
        <f t="shared" si="21"/>
        <v>8</v>
      </c>
      <c r="B15" s="839" t="s">
        <v>890</v>
      </c>
      <c r="C15" s="838" t="s">
        <v>1397</v>
      </c>
      <c r="D15" s="838" t="s">
        <v>1142</v>
      </c>
      <c r="E15" s="837" t="s">
        <v>1141</v>
      </c>
      <c r="F15" s="830">
        <v>11836.8</v>
      </c>
      <c r="G15" s="830"/>
      <c r="H15" s="830"/>
      <c r="I15" s="830"/>
      <c r="J15" s="830"/>
      <c r="K15" s="832">
        <f t="shared" si="0"/>
        <v>11836.8</v>
      </c>
      <c r="L15" s="830"/>
      <c r="M15" s="832">
        <f t="shared" si="1"/>
        <v>0</v>
      </c>
      <c r="N15" s="831">
        <f t="shared" si="2"/>
        <v>11836.8</v>
      </c>
      <c r="O15" s="833">
        <v>2000</v>
      </c>
      <c r="P15" s="833"/>
      <c r="Q15" s="841">
        <f t="shared" si="3"/>
        <v>2000</v>
      </c>
      <c r="R15" s="830"/>
      <c r="S15" s="830"/>
      <c r="T15" s="830"/>
      <c r="U15" s="832">
        <f t="shared" si="4"/>
        <v>0</v>
      </c>
      <c r="V15" s="830"/>
      <c r="W15" s="830"/>
      <c r="X15" s="830"/>
      <c r="Y15" s="830"/>
      <c r="Z15" s="832">
        <f t="shared" si="5"/>
        <v>0</v>
      </c>
      <c r="AA15" s="830"/>
      <c r="AB15" s="830"/>
      <c r="AC15" s="832">
        <f t="shared" si="6"/>
        <v>0</v>
      </c>
      <c r="AD15" s="830"/>
      <c r="AE15" s="830"/>
      <c r="AF15" s="832">
        <f t="shared" si="7"/>
        <v>0</v>
      </c>
      <c r="AG15" s="831">
        <f t="shared" si="8"/>
        <v>0</v>
      </c>
      <c r="AH15" s="833">
        <v>750</v>
      </c>
      <c r="AI15" s="830"/>
      <c r="AJ15" s="832">
        <f t="shared" si="9"/>
        <v>750</v>
      </c>
      <c r="AK15" s="830"/>
      <c r="AL15" s="830"/>
      <c r="AM15" s="832">
        <f t="shared" si="10"/>
        <v>0</v>
      </c>
      <c r="AN15" s="831">
        <f t="shared" si="11"/>
        <v>750</v>
      </c>
      <c r="AO15" s="833">
        <v>6840</v>
      </c>
      <c r="AP15" s="830"/>
      <c r="AQ15" s="830"/>
      <c r="AR15" s="832">
        <f t="shared" si="12"/>
        <v>6840</v>
      </c>
      <c r="AS15" s="830"/>
      <c r="AT15" s="832">
        <f t="shared" si="13"/>
        <v>0</v>
      </c>
      <c r="AU15" s="831">
        <f t="shared" si="14"/>
        <v>6840</v>
      </c>
      <c r="AV15" s="830"/>
      <c r="AW15" s="831">
        <f t="shared" si="15"/>
        <v>0</v>
      </c>
      <c r="AX15" s="830">
        <f t="shared" si="16"/>
        <v>21426.799999999999</v>
      </c>
      <c r="AY15" s="829">
        <v>21426.799999999999</v>
      </c>
      <c r="AZ15" s="827" t="b">
        <f t="shared" si="17"/>
        <v>1</v>
      </c>
      <c r="BA15" s="828">
        <f t="shared" si="18"/>
        <v>3.5302050188955131E-2</v>
      </c>
      <c r="BB15" s="827"/>
      <c r="BC15" s="826">
        <v>7</v>
      </c>
      <c r="BD15" s="826">
        <v>0</v>
      </c>
      <c r="BE15" s="826">
        <f t="shared" si="19"/>
        <v>7</v>
      </c>
      <c r="BF15" s="826">
        <v>105</v>
      </c>
      <c r="BG15" s="846">
        <v>408</v>
      </c>
      <c r="BH15" s="826">
        <f t="shared" si="20"/>
        <v>513</v>
      </c>
    </row>
    <row r="16" spans="1:124" ht="72" customHeight="1" x14ac:dyDescent="0.65">
      <c r="A16" s="840">
        <f t="shared" si="21"/>
        <v>9</v>
      </c>
      <c r="B16" s="839" t="s">
        <v>890</v>
      </c>
      <c r="C16" s="838" t="s">
        <v>1397</v>
      </c>
      <c r="D16" s="838" t="s">
        <v>1140</v>
      </c>
      <c r="E16" s="837" t="s">
        <v>1139</v>
      </c>
      <c r="F16" s="830">
        <v>11710.52</v>
      </c>
      <c r="G16" s="830"/>
      <c r="H16" s="830"/>
      <c r="I16" s="830"/>
      <c r="J16" s="830"/>
      <c r="K16" s="832">
        <f t="shared" si="0"/>
        <v>11710.52</v>
      </c>
      <c r="L16" s="833">
        <v>2128.1</v>
      </c>
      <c r="M16" s="832">
        <f t="shared" si="1"/>
        <v>2128.1</v>
      </c>
      <c r="N16" s="831">
        <f t="shared" si="2"/>
        <v>13838.62</v>
      </c>
      <c r="O16" s="833">
        <v>2000</v>
      </c>
      <c r="P16" s="833"/>
      <c r="Q16" s="841">
        <f t="shared" si="3"/>
        <v>2000</v>
      </c>
      <c r="R16" s="830">
        <v>13200</v>
      </c>
      <c r="S16" s="830"/>
      <c r="T16" s="830"/>
      <c r="U16" s="832">
        <f t="shared" si="4"/>
        <v>13200</v>
      </c>
      <c r="V16" s="833"/>
      <c r="W16" s="830"/>
      <c r="X16" s="830"/>
      <c r="Y16" s="830"/>
      <c r="Z16" s="832">
        <f t="shared" si="5"/>
        <v>0</v>
      </c>
      <c r="AA16" s="830"/>
      <c r="AB16" s="830"/>
      <c r="AC16" s="832">
        <f t="shared" si="6"/>
        <v>0</v>
      </c>
      <c r="AD16" s="830"/>
      <c r="AE16" s="830"/>
      <c r="AF16" s="832">
        <f t="shared" si="7"/>
        <v>0</v>
      </c>
      <c r="AG16" s="831">
        <f t="shared" si="8"/>
        <v>13200</v>
      </c>
      <c r="AH16" s="843">
        <v>1500</v>
      </c>
      <c r="AI16" s="843">
        <v>3104.48</v>
      </c>
      <c r="AJ16" s="832">
        <f t="shared" si="9"/>
        <v>4604.4799999999996</v>
      </c>
      <c r="AK16" s="830"/>
      <c r="AL16" s="830"/>
      <c r="AM16" s="832">
        <f t="shared" si="10"/>
        <v>0</v>
      </c>
      <c r="AN16" s="831">
        <f t="shared" si="11"/>
        <v>4604.4799999999996</v>
      </c>
      <c r="AO16" s="830"/>
      <c r="AP16" s="830"/>
      <c r="AQ16" s="830"/>
      <c r="AR16" s="832">
        <f t="shared" si="12"/>
        <v>0</v>
      </c>
      <c r="AS16" s="830"/>
      <c r="AT16" s="832">
        <f t="shared" si="13"/>
        <v>0</v>
      </c>
      <c r="AU16" s="831">
        <f t="shared" si="14"/>
        <v>0</v>
      </c>
      <c r="AV16" s="830"/>
      <c r="AW16" s="831">
        <f t="shared" si="15"/>
        <v>0</v>
      </c>
      <c r="AX16" s="830">
        <f t="shared" si="16"/>
        <v>33643.1</v>
      </c>
      <c r="AY16" s="829">
        <v>34643.14</v>
      </c>
      <c r="AZ16" s="827" t="b">
        <f t="shared" si="17"/>
        <v>0</v>
      </c>
      <c r="BA16" s="828">
        <f t="shared" si="18"/>
        <v>5.5429201033847166E-2</v>
      </c>
      <c r="BB16" s="827"/>
      <c r="BC16" s="826">
        <v>16</v>
      </c>
      <c r="BD16" s="826">
        <v>0</v>
      </c>
      <c r="BE16" s="826">
        <f t="shared" si="19"/>
        <v>16</v>
      </c>
      <c r="BF16" s="826">
        <v>450</v>
      </c>
      <c r="BG16" s="826">
        <v>10</v>
      </c>
      <c r="BH16" s="826">
        <f t="shared" si="20"/>
        <v>460</v>
      </c>
    </row>
    <row r="17" spans="1:60" ht="45" x14ac:dyDescent="0.65">
      <c r="A17" s="840">
        <f t="shared" si="21"/>
        <v>10</v>
      </c>
      <c r="B17" s="839" t="s">
        <v>890</v>
      </c>
      <c r="C17" s="838" t="s">
        <v>1396</v>
      </c>
      <c r="D17" s="838" t="s">
        <v>1150</v>
      </c>
      <c r="E17" s="837" t="s">
        <v>1149</v>
      </c>
      <c r="F17" s="830"/>
      <c r="G17" s="830"/>
      <c r="H17" s="830"/>
      <c r="I17" s="830"/>
      <c r="J17" s="830"/>
      <c r="K17" s="832">
        <f t="shared" si="0"/>
        <v>0</v>
      </c>
      <c r="L17" s="830">
        <v>12361.94</v>
      </c>
      <c r="M17" s="832">
        <f t="shared" si="1"/>
        <v>12361.94</v>
      </c>
      <c r="N17" s="831">
        <f t="shared" si="2"/>
        <v>12361.94</v>
      </c>
      <c r="O17" s="833"/>
      <c r="P17" s="833"/>
      <c r="Q17" s="841">
        <f t="shared" si="3"/>
        <v>0</v>
      </c>
      <c r="R17" s="830"/>
      <c r="S17" s="830"/>
      <c r="T17" s="830"/>
      <c r="U17" s="832">
        <f t="shared" si="4"/>
        <v>0</v>
      </c>
      <c r="V17" s="830"/>
      <c r="W17" s="830">
        <v>681.41</v>
      </c>
      <c r="X17" s="830"/>
      <c r="Y17" s="830"/>
      <c r="Z17" s="832">
        <f t="shared" si="5"/>
        <v>681.41</v>
      </c>
      <c r="AA17" s="830">
        <v>333.41</v>
      </c>
      <c r="AB17" s="830"/>
      <c r="AC17" s="832">
        <f t="shared" si="6"/>
        <v>333.41</v>
      </c>
      <c r="AD17" s="830"/>
      <c r="AE17" s="830"/>
      <c r="AF17" s="832">
        <f t="shared" si="7"/>
        <v>0</v>
      </c>
      <c r="AG17" s="831">
        <f t="shared" si="8"/>
        <v>1014.8199999999999</v>
      </c>
      <c r="AH17" s="830">
        <v>750</v>
      </c>
      <c r="AI17" s="830"/>
      <c r="AJ17" s="832">
        <f t="shared" si="9"/>
        <v>750</v>
      </c>
      <c r="AK17" s="830"/>
      <c r="AL17" s="830"/>
      <c r="AM17" s="832">
        <f t="shared" si="10"/>
        <v>0</v>
      </c>
      <c r="AN17" s="831">
        <f t="shared" si="11"/>
        <v>750</v>
      </c>
      <c r="AO17" s="830"/>
      <c r="AP17" s="830"/>
      <c r="AQ17" s="830"/>
      <c r="AR17" s="832">
        <f t="shared" si="12"/>
        <v>0</v>
      </c>
      <c r="AS17" s="830"/>
      <c r="AT17" s="832">
        <f t="shared" si="13"/>
        <v>0</v>
      </c>
      <c r="AU17" s="831">
        <f t="shared" si="14"/>
        <v>0</v>
      </c>
      <c r="AV17" s="830"/>
      <c r="AW17" s="831">
        <f t="shared" si="15"/>
        <v>0</v>
      </c>
      <c r="AX17" s="830">
        <f t="shared" si="16"/>
        <v>14126.76</v>
      </c>
      <c r="AY17" s="829">
        <v>14126.8</v>
      </c>
      <c r="AZ17" s="827" t="b">
        <f t="shared" si="17"/>
        <v>0</v>
      </c>
      <c r="BA17" s="828">
        <f t="shared" si="18"/>
        <v>2.3274758271292207E-2</v>
      </c>
      <c r="BB17" s="827"/>
      <c r="BC17" s="826">
        <v>7</v>
      </c>
      <c r="BD17" s="826">
        <v>0</v>
      </c>
      <c r="BE17" s="826">
        <f t="shared" si="19"/>
        <v>7</v>
      </c>
      <c r="BF17" s="826">
        <v>170</v>
      </c>
      <c r="BG17" s="826">
        <v>0</v>
      </c>
      <c r="BH17" s="826">
        <f t="shared" si="20"/>
        <v>170</v>
      </c>
    </row>
    <row r="18" spans="1:60" ht="61.5" x14ac:dyDescent="0.65">
      <c r="A18" s="840">
        <f t="shared" si="21"/>
        <v>11</v>
      </c>
      <c r="B18" s="839" t="s">
        <v>890</v>
      </c>
      <c r="C18" s="838" t="s">
        <v>1396</v>
      </c>
      <c r="D18" s="838" t="s">
        <v>1148</v>
      </c>
      <c r="E18" s="837" t="s">
        <v>1147</v>
      </c>
      <c r="F18" s="830"/>
      <c r="G18" s="830"/>
      <c r="H18" s="830"/>
      <c r="I18" s="830"/>
      <c r="J18" s="830"/>
      <c r="K18" s="832">
        <f t="shared" si="0"/>
        <v>0</v>
      </c>
      <c r="L18" s="830"/>
      <c r="M18" s="832">
        <f t="shared" si="1"/>
        <v>0</v>
      </c>
      <c r="N18" s="831">
        <f t="shared" si="2"/>
        <v>0</v>
      </c>
      <c r="O18" s="833"/>
      <c r="P18" s="833">
        <v>2500</v>
      </c>
      <c r="Q18" s="841">
        <f t="shared" si="3"/>
        <v>2500</v>
      </c>
      <c r="R18" s="830"/>
      <c r="S18" s="830"/>
      <c r="T18" s="830"/>
      <c r="U18" s="832">
        <f t="shared" si="4"/>
        <v>0</v>
      </c>
      <c r="V18" s="830"/>
      <c r="W18" s="830"/>
      <c r="X18" s="833"/>
      <c r="Y18" s="830"/>
      <c r="Z18" s="832">
        <f t="shared" si="5"/>
        <v>0</v>
      </c>
      <c r="AA18" s="833"/>
      <c r="AB18" s="830"/>
      <c r="AC18" s="832">
        <f t="shared" si="6"/>
        <v>0</v>
      </c>
      <c r="AD18" s="830"/>
      <c r="AE18" s="830"/>
      <c r="AF18" s="832">
        <f t="shared" si="7"/>
        <v>0</v>
      </c>
      <c r="AG18" s="831">
        <f t="shared" si="8"/>
        <v>0</v>
      </c>
      <c r="AH18" s="830">
        <v>750</v>
      </c>
      <c r="AI18" s="830">
        <v>1000</v>
      </c>
      <c r="AJ18" s="832">
        <f t="shared" si="9"/>
        <v>1750</v>
      </c>
      <c r="AK18" s="830"/>
      <c r="AL18" s="830"/>
      <c r="AM18" s="832">
        <f t="shared" si="10"/>
        <v>0</v>
      </c>
      <c r="AN18" s="831">
        <f t="shared" si="11"/>
        <v>1750</v>
      </c>
      <c r="AO18" s="830">
        <v>12271.82</v>
      </c>
      <c r="AP18" s="830"/>
      <c r="AQ18" s="830"/>
      <c r="AR18" s="832">
        <f t="shared" si="12"/>
        <v>12271.82</v>
      </c>
      <c r="AS18" s="830"/>
      <c r="AT18" s="832">
        <f t="shared" si="13"/>
        <v>0</v>
      </c>
      <c r="AU18" s="831">
        <f t="shared" si="14"/>
        <v>12271.82</v>
      </c>
      <c r="AV18" s="830"/>
      <c r="AW18" s="831">
        <f t="shared" si="15"/>
        <v>0</v>
      </c>
      <c r="AX18" s="830">
        <f t="shared" si="16"/>
        <v>16521.82</v>
      </c>
      <c r="AY18" s="829">
        <v>16521.82</v>
      </c>
      <c r="AZ18" s="827" t="b">
        <f t="shared" si="17"/>
        <v>1</v>
      </c>
      <c r="BA18" s="828">
        <f t="shared" si="18"/>
        <v>2.7220775797267102E-2</v>
      </c>
      <c r="BB18" s="827"/>
      <c r="BC18" s="826">
        <v>4</v>
      </c>
      <c r="BD18" s="846">
        <v>1</v>
      </c>
      <c r="BE18" s="826">
        <f t="shared" si="19"/>
        <v>5</v>
      </c>
      <c r="BF18" s="826">
        <v>350</v>
      </c>
      <c r="BG18" s="846">
        <v>50</v>
      </c>
      <c r="BH18" s="826">
        <f t="shared" si="20"/>
        <v>400</v>
      </c>
    </row>
    <row r="19" spans="1:60" ht="67.5" x14ac:dyDescent="0.65">
      <c r="A19" s="840">
        <f t="shared" si="21"/>
        <v>12</v>
      </c>
      <c r="B19" s="839" t="s">
        <v>890</v>
      </c>
      <c r="C19" s="838" t="s">
        <v>1395</v>
      </c>
      <c r="D19" s="838" t="s">
        <v>1146</v>
      </c>
      <c r="E19" s="858" t="s">
        <v>1145</v>
      </c>
      <c r="F19" s="830"/>
      <c r="G19" s="830"/>
      <c r="H19" s="830"/>
      <c r="I19" s="830"/>
      <c r="J19" s="830"/>
      <c r="K19" s="832">
        <f t="shared" si="0"/>
        <v>0</v>
      </c>
      <c r="L19" s="830"/>
      <c r="M19" s="832">
        <f t="shared" si="1"/>
        <v>0</v>
      </c>
      <c r="N19" s="831">
        <f t="shared" si="2"/>
        <v>0</v>
      </c>
      <c r="O19" s="833"/>
      <c r="P19" s="833"/>
      <c r="Q19" s="841">
        <f t="shared" si="3"/>
        <v>0</v>
      </c>
      <c r="R19" s="830"/>
      <c r="S19" s="833"/>
      <c r="T19" s="830"/>
      <c r="U19" s="832">
        <f t="shared" si="4"/>
        <v>0</v>
      </c>
      <c r="V19" s="830"/>
      <c r="W19" s="830"/>
      <c r="X19" s="830"/>
      <c r="Y19" s="830">
        <v>15563.28</v>
      </c>
      <c r="Z19" s="832">
        <f t="shared" si="5"/>
        <v>15563.28</v>
      </c>
      <c r="AA19" s="830"/>
      <c r="AB19" s="830"/>
      <c r="AC19" s="832">
        <f t="shared" si="6"/>
        <v>0</v>
      </c>
      <c r="AD19" s="830"/>
      <c r="AE19" s="830"/>
      <c r="AF19" s="832">
        <f t="shared" si="7"/>
        <v>0</v>
      </c>
      <c r="AG19" s="831">
        <f t="shared" si="8"/>
        <v>15563.28</v>
      </c>
      <c r="AH19" s="830">
        <v>750</v>
      </c>
      <c r="AI19" s="830"/>
      <c r="AJ19" s="832">
        <f t="shared" si="9"/>
        <v>750</v>
      </c>
      <c r="AK19" s="830">
        <v>2500</v>
      </c>
      <c r="AL19" s="830"/>
      <c r="AM19" s="832">
        <f t="shared" si="10"/>
        <v>2500</v>
      </c>
      <c r="AN19" s="831">
        <f t="shared" si="11"/>
        <v>3250</v>
      </c>
      <c r="AO19" s="833"/>
      <c r="AP19" s="830"/>
      <c r="AQ19" s="830"/>
      <c r="AR19" s="832">
        <f t="shared" si="12"/>
        <v>0</v>
      </c>
      <c r="AS19" s="830"/>
      <c r="AT19" s="832">
        <f t="shared" si="13"/>
        <v>0</v>
      </c>
      <c r="AU19" s="831">
        <f t="shared" si="14"/>
        <v>0</v>
      </c>
      <c r="AV19" s="830"/>
      <c r="AW19" s="831">
        <f t="shared" si="15"/>
        <v>0</v>
      </c>
      <c r="AX19" s="830">
        <f t="shared" si="16"/>
        <v>18813.28</v>
      </c>
      <c r="AY19" s="829">
        <v>18828.87</v>
      </c>
      <c r="AZ19" s="827" t="b">
        <f t="shared" si="17"/>
        <v>0</v>
      </c>
      <c r="BA19" s="828">
        <f t="shared" si="18"/>
        <v>3.099610556774067E-2</v>
      </c>
      <c r="BB19" s="827"/>
      <c r="BC19" s="826">
        <v>4</v>
      </c>
      <c r="BD19" s="826">
        <v>0</v>
      </c>
      <c r="BE19" s="826">
        <f t="shared" si="19"/>
        <v>4</v>
      </c>
      <c r="BF19" s="826">
        <v>73</v>
      </c>
      <c r="BG19" s="826">
        <v>0</v>
      </c>
      <c r="BH19" s="826">
        <f t="shared" si="20"/>
        <v>73</v>
      </c>
    </row>
    <row r="20" spans="1:60" ht="45" x14ac:dyDescent="0.65">
      <c r="A20" s="840">
        <f t="shared" si="21"/>
        <v>13</v>
      </c>
      <c r="B20" s="839" t="s">
        <v>890</v>
      </c>
      <c r="C20" s="838" t="s">
        <v>1394</v>
      </c>
      <c r="D20" s="838" t="s">
        <v>1138</v>
      </c>
      <c r="E20" s="837" t="s">
        <v>1137</v>
      </c>
      <c r="F20" s="856"/>
      <c r="G20" s="859">
        <v>12143.18</v>
      </c>
      <c r="H20" s="830"/>
      <c r="I20" s="830">
        <v>2649.36</v>
      </c>
      <c r="J20" s="830"/>
      <c r="K20" s="832">
        <f t="shared" si="0"/>
        <v>14792.54</v>
      </c>
      <c r="L20" s="833"/>
      <c r="M20" s="832">
        <f t="shared" si="1"/>
        <v>0</v>
      </c>
      <c r="N20" s="831">
        <f t="shared" si="2"/>
        <v>14792.54</v>
      </c>
      <c r="O20" s="833">
        <v>2000</v>
      </c>
      <c r="P20" s="833"/>
      <c r="Q20" s="841">
        <f t="shared" si="3"/>
        <v>2000</v>
      </c>
      <c r="R20" s="830"/>
      <c r="S20" s="830"/>
      <c r="T20" s="830"/>
      <c r="U20" s="832">
        <f t="shared" si="4"/>
        <v>0</v>
      </c>
      <c r="V20" s="830"/>
      <c r="W20" s="830"/>
      <c r="X20" s="830"/>
      <c r="Y20" s="830"/>
      <c r="Z20" s="832">
        <f t="shared" si="5"/>
        <v>0</v>
      </c>
      <c r="AA20" s="830"/>
      <c r="AB20" s="830"/>
      <c r="AC20" s="832">
        <f t="shared" si="6"/>
        <v>0</v>
      </c>
      <c r="AD20" s="830"/>
      <c r="AE20" s="830"/>
      <c r="AF20" s="832">
        <f t="shared" si="7"/>
        <v>0</v>
      </c>
      <c r="AG20" s="831">
        <f t="shared" si="8"/>
        <v>0</v>
      </c>
      <c r="AH20" s="830">
        <v>750</v>
      </c>
      <c r="AI20" s="830"/>
      <c r="AJ20" s="832">
        <f t="shared" si="9"/>
        <v>750</v>
      </c>
      <c r="AK20" s="830"/>
      <c r="AL20" s="830"/>
      <c r="AM20" s="832">
        <f t="shared" si="10"/>
        <v>0</v>
      </c>
      <c r="AN20" s="831">
        <f t="shared" si="11"/>
        <v>750</v>
      </c>
      <c r="AO20" s="830"/>
      <c r="AP20" s="830"/>
      <c r="AQ20" s="830"/>
      <c r="AR20" s="832">
        <f t="shared" si="12"/>
        <v>0</v>
      </c>
      <c r="AS20" s="830"/>
      <c r="AT20" s="832">
        <f t="shared" si="13"/>
        <v>0</v>
      </c>
      <c r="AU20" s="831">
        <f t="shared" si="14"/>
        <v>0</v>
      </c>
      <c r="AV20" s="830">
        <v>750</v>
      </c>
      <c r="AW20" s="831">
        <f t="shared" si="15"/>
        <v>750</v>
      </c>
      <c r="AX20" s="830">
        <f t="shared" si="16"/>
        <v>18292.54</v>
      </c>
      <c r="AY20" s="829">
        <v>18292.54</v>
      </c>
      <c r="AZ20" s="827" t="b">
        <f t="shared" si="17"/>
        <v>1</v>
      </c>
      <c r="BA20" s="828">
        <f t="shared" si="18"/>
        <v>3.0138152461565395E-2</v>
      </c>
      <c r="BB20" s="827"/>
      <c r="BC20" s="826">
        <v>6</v>
      </c>
      <c r="BD20" s="846">
        <v>0</v>
      </c>
      <c r="BE20" s="826">
        <f t="shared" si="19"/>
        <v>6</v>
      </c>
      <c r="BF20" s="826">
        <v>146</v>
      </c>
      <c r="BG20" s="846">
        <v>0</v>
      </c>
      <c r="BH20" s="826">
        <f t="shared" si="20"/>
        <v>146</v>
      </c>
    </row>
    <row r="21" spans="1:60" ht="67.5" x14ac:dyDescent="0.65">
      <c r="A21" s="840">
        <f t="shared" si="21"/>
        <v>14</v>
      </c>
      <c r="B21" s="839" t="s">
        <v>890</v>
      </c>
      <c r="C21" s="838" t="s">
        <v>1394</v>
      </c>
      <c r="D21" s="838" t="s">
        <v>1136</v>
      </c>
      <c r="E21" s="858" t="s">
        <v>1135</v>
      </c>
      <c r="F21" s="856"/>
      <c r="G21" s="855"/>
      <c r="H21" s="830"/>
      <c r="I21" s="830"/>
      <c r="J21" s="830"/>
      <c r="K21" s="832">
        <f t="shared" si="0"/>
        <v>0</v>
      </c>
      <c r="L21" s="830"/>
      <c r="M21" s="832">
        <f t="shared" si="1"/>
        <v>0</v>
      </c>
      <c r="N21" s="831">
        <f t="shared" si="2"/>
        <v>0</v>
      </c>
      <c r="O21" s="833"/>
      <c r="P21" s="833">
        <v>2500</v>
      </c>
      <c r="Q21" s="841">
        <f t="shared" si="3"/>
        <v>2500</v>
      </c>
      <c r="R21" s="830">
        <v>4884</v>
      </c>
      <c r="S21" s="830"/>
      <c r="T21" s="830"/>
      <c r="U21" s="832">
        <f t="shared" si="4"/>
        <v>4884</v>
      </c>
      <c r="V21" s="830"/>
      <c r="W21" s="830"/>
      <c r="X21" s="830"/>
      <c r="Y21" s="830"/>
      <c r="Z21" s="832">
        <f t="shared" si="5"/>
        <v>0</v>
      </c>
      <c r="AA21" s="830"/>
      <c r="AB21" s="830"/>
      <c r="AC21" s="832">
        <f t="shared" si="6"/>
        <v>0</v>
      </c>
      <c r="AD21" s="830"/>
      <c r="AE21" s="830"/>
      <c r="AF21" s="832">
        <f t="shared" si="7"/>
        <v>0</v>
      </c>
      <c r="AG21" s="831">
        <f t="shared" si="8"/>
        <v>4884</v>
      </c>
      <c r="AH21" s="833">
        <v>750</v>
      </c>
      <c r="AI21" s="830"/>
      <c r="AJ21" s="832">
        <f t="shared" si="9"/>
        <v>750</v>
      </c>
      <c r="AK21" s="830"/>
      <c r="AL21" s="830">
        <v>2979.13</v>
      </c>
      <c r="AM21" s="832">
        <f t="shared" si="10"/>
        <v>2979.13</v>
      </c>
      <c r="AN21" s="831">
        <f t="shared" si="11"/>
        <v>3729.13</v>
      </c>
      <c r="AO21" s="830"/>
      <c r="AP21" s="830"/>
      <c r="AQ21" s="830"/>
      <c r="AR21" s="832">
        <f t="shared" si="12"/>
        <v>0</v>
      </c>
      <c r="AS21" s="830"/>
      <c r="AT21" s="832">
        <f t="shared" si="13"/>
        <v>0</v>
      </c>
      <c r="AU21" s="831">
        <f t="shared" si="14"/>
        <v>0</v>
      </c>
      <c r="AV21" s="830"/>
      <c r="AW21" s="831">
        <f t="shared" si="15"/>
        <v>0</v>
      </c>
      <c r="AX21" s="830">
        <f t="shared" si="16"/>
        <v>11113.130000000001</v>
      </c>
      <c r="AY21" s="829">
        <v>11113.14</v>
      </c>
      <c r="AZ21" s="827" t="b">
        <f t="shared" si="17"/>
        <v>0</v>
      </c>
      <c r="BA21" s="828">
        <f t="shared" si="18"/>
        <v>1.8309606334888224E-2</v>
      </c>
      <c r="BB21" s="827"/>
      <c r="BC21" s="826">
        <v>9</v>
      </c>
      <c r="BD21" s="826">
        <v>0</v>
      </c>
      <c r="BE21" s="826">
        <f t="shared" si="19"/>
        <v>9</v>
      </c>
      <c r="BF21" s="826">
        <v>1000</v>
      </c>
      <c r="BG21" s="826">
        <v>12</v>
      </c>
      <c r="BH21" s="826">
        <f t="shared" si="20"/>
        <v>1012</v>
      </c>
    </row>
    <row r="22" spans="1:60" ht="82" x14ac:dyDescent="0.65">
      <c r="A22" s="840">
        <f t="shared" si="21"/>
        <v>15</v>
      </c>
      <c r="B22" s="839" t="s">
        <v>890</v>
      </c>
      <c r="C22" s="838" t="s">
        <v>1393</v>
      </c>
      <c r="D22" s="838" t="s">
        <v>1129</v>
      </c>
      <c r="E22" s="858" t="s">
        <v>1128</v>
      </c>
      <c r="F22" s="856"/>
      <c r="G22" s="855">
        <v>5990.7</v>
      </c>
      <c r="H22" s="830"/>
      <c r="I22" s="830"/>
      <c r="J22" s="830"/>
      <c r="K22" s="832">
        <f t="shared" si="0"/>
        <v>5990.7</v>
      </c>
      <c r="L22" s="830">
        <v>880</v>
      </c>
      <c r="M22" s="832">
        <f t="shared" si="1"/>
        <v>880</v>
      </c>
      <c r="N22" s="831">
        <f t="shared" si="2"/>
        <v>6870.7</v>
      </c>
      <c r="O22" s="833"/>
      <c r="P22" s="833"/>
      <c r="Q22" s="841">
        <f t="shared" si="3"/>
        <v>0</v>
      </c>
      <c r="R22" s="830"/>
      <c r="S22" s="830"/>
      <c r="T22" s="830">
        <v>1792.64</v>
      </c>
      <c r="U22" s="832">
        <f t="shared" si="4"/>
        <v>1792.64</v>
      </c>
      <c r="V22" s="830"/>
      <c r="W22" s="830"/>
      <c r="X22" s="830"/>
      <c r="Y22" s="830"/>
      <c r="Z22" s="832">
        <f t="shared" si="5"/>
        <v>0</v>
      </c>
      <c r="AA22" s="830"/>
      <c r="AB22" s="830"/>
      <c r="AC22" s="832">
        <f t="shared" si="6"/>
        <v>0</v>
      </c>
      <c r="AD22" s="830"/>
      <c r="AE22" s="830"/>
      <c r="AF22" s="832">
        <f t="shared" si="7"/>
        <v>0</v>
      </c>
      <c r="AG22" s="831">
        <f t="shared" si="8"/>
        <v>1792.64</v>
      </c>
      <c r="AH22" s="833">
        <v>750</v>
      </c>
      <c r="AI22" s="830"/>
      <c r="AJ22" s="832">
        <f t="shared" si="9"/>
        <v>750</v>
      </c>
      <c r="AK22" s="830"/>
      <c r="AL22" s="830"/>
      <c r="AM22" s="832">
        <f t="shared" si="10"/>
        <v>0</v>
      </c>
      <c r="AN22" s="831">
        <f t="shared" si="11"/>
        <v>750</v>
      </c>
      <c r="AO22" s="830"/>
      <c r="AP22" s="830"/>
      <c r="AQ22" s="830"/>
      <c r="AR22" s="832">
        <f t="shared" si="12"/>
        <v>0</v>
      </c>
      <c r="AS22" s="830"/>
      <c r="AT22" s="832">
        <f t="shared" si="13"/>
        <v>0</v>
      </c>
      <c r="AU22" s="831">
        <f t="shared" si="14"/>
        <v>0</v>
      </c>
      <c r="AV22" s="830">
        <v>750</v>
      </c>
      <c r="AW22" s="831">
        <f t="shared" si="15"/>
        <v>750</v>
      </c>
      <c r="AX22" s="830">
        <f t="shared" si="16"/>
        <v>10163.34</v>
      </c>
      <c r="AY22" s="829">
        <v>10163.39</v>
      </c>
      <c r="AZ22" s="827" t="b">
        <f t="shared" si="17"/>
        <v>0</v>
      </c>
      <c r="BA22" s="828">
        <f t="shared" si="18"/>
        <v>1.6744765376417163E-2</v>
      </c>
      <c r="BB22" s="827"/>
      <c r="BC22" s="826">
        <v>2</v>
      </c>
      <c r="BD22" s="826">
        <v>0</v>
      </c>
      <c r="BE22" s="826">
        <f t="shared" si="19"/>
        <v>2</v>
      </c>
      <c r="BF22" s="826">
        <v>300</v>
      </c>
      <c r="BG22" s="826">
        <v>0</v>
      </c>
      <c r="BH22" s="826">
        <f t="shared" si="20"/>
        <v>300</v>
      </c>
    </row>
    <row r="23" spans="1:60" s="857" customFormat="1" ht="82" x14ac:dyDescent="0.65">
      <c r="A23" s="840">
        <f t="shared" si="21"/>
        <v>16</v>
      </c>
      <c r="B23" s="839" t="s">
        <v>890</v>
      </c>
      <c r="C23" s="838" t="s">
        <v>1393</v>
      </c>
      <c r="D23" s="838" t="s">
        <v>1392</v>
      </c>
      <c r="E23" s="858" t="s">
        <v>1130</v>
      </c>
      <c r="F23" s="856"/>
      <c r="G23" s="855"/>
      <c r="H23" s="830"/>
      <c r="I23" s="830"/>
      <c r="J23" s="830"/>
      <c r="K23" s="832">
        <f t="shared" si="0"/>
        <v>0</v>
      </c>
      <c r="L23" s="830">
        <v>7518.64</v>
      </c>
      <c r="M23" s="832">
        <f t="shared" si="1"/>
        <v>7518.64</v>
      </c>
      <c r="N23" s="831">
        <f t="shared" si="2"/>
        <v>7518.64</v>
      </c>
      <c r="O23" s="833"/>
      <c r="P23" s="833"/>
      <c r="Q23" s="841">
        <f t="shared" si="3"/>
        <v>0</v>
      </c>
      <c r="R23" s="830"/>
      <c r="S23" s="830">
        <v>1568</v>
      </c>
      <c r="T23" s="830">
        <v>8190</v>
      </c>
      <c r="U23" s="832">
        <f t="shared" si="4"/>
        <v>9758</v>
      </c>
      <c r="V23" s="830"/>
      <c r="W23" s="830"/>
      <c r="X23" s="830"/>
      <c r="Y23" s="830"/>
      <c r="Z23" s="832">
        <f t="shared" si="5"/>
        <v>0</v>
      </c>
      <c r="AA23" s="830"/>
      <c r="AB23" s="830"/>
      <c r="AC23" s="832">
        <f t="shared" si="6"/>
        <v>0</v>
      </c>
      <c r="AD23" s="830"/>
      <c r="AE23" s="830"/>
      <c r="AF23" s="832">
        <f t="shared" si="7"/>
        <v>0</v>
      </c>
      <c r="AG23" s="831">
        <f t="shared" si="8"/>
        <v>9758</v>
      </c>
      <c r="AH23" s="833">
        <v>750</v>
      </c>
      <c r="AI23" s="830"/>
      <c r="AJ23" s="832">
        <f t="shared" si="9"/>
        <v>750</v>
      </c>
      <c r="AK23" s="830"/>
      <c r="AL23" s="830"/>
      <c r="AM23" s="832">
        <f t="shared" si="10"/>
        <v>0</v>
      </c>
      <c r="AN23" s="831">
        <f t="shared" si="11"/>
        <v>750</v>
      </c>
      <c r="AO23" s="830"/>
      <c r="AP23" s="830"/>
      <c r="AQ23" s="830"/>
      <c r="AR23" s="832">
        <f t="shared" si="12"/>
        <v>0</v>
      </c>
      <c r="AS23" s="830"/>
      <c r="AT23" s="832">
        <f t="shared" si="13"/>
        <v>0</v>
      </c>
      <c r="AU23" s="831">
        <f t="shared" si="14"/>
        <v>0</v>
      </c>
      <c r="AV23" s="830"/>
      <c r="AW23" s="831">
        <f t="shared" si="15"/>
        <v>0</v>
      </c>
      <c r="AX23" s="830">
        <f t="shared" si="16"/>
        <v>18026.64</v>
      </c>
      <c r="AY23" s="854">
        <v>18026.64</v>
      </c>
      <c r="AZ23" s="853" t="b">
        <f t="shared" si="17"/>
        <v>1</v>
      </c>
      <c r="BA23" s="828">
        <f t="shared" si="18"/>
        <v>2.9700064872880044E-2</v>
      </c>
      <c r="BB23" s="853"/>
      <c r="BC23" s="846">
        <v>8</v>
      </c>
      <c r="BD23" s="846">
        <v>0</v>
      </c>
      <c r="BE23" s="826">
        <f t="shared" si="19"/>
        <v>8</v>
      </c>
      <c r="BF23" s="846">
        <v>230</v>
      </c>
      <c r="BG23" s="846">
        <v>12</v>
      </c>
      <c r="BH23" s="826">
        <f t="shared" si="20"/>
        <v>242</v>
      </c>
    </row>
    <row r="24" spans="1:60" s="848" customFormat="1" ht="42" customHeight="1" x14ac:dyDescent="0.65">
      <c r="A24" s="1449" t="s">
        <v>1391</v>
      </c>
      <c r="B24" s="1450"/>
      <c r="C24" s="1450"/>
      <c r="D24" s="1450"/>
      <c r="E24" s="1451"/>
      <c r="F24" s="856">
        <f t="shared" ref="F24:BA24" si="22">SUM(F8:F23)</f>
        <v>41955.46</v>
      </c>
      <c r="G24" s="855">
        <f t="shared" si="22"/>
        <v>18133.88</v>
      </c>
      <c r="H24" s="830">
        <f t="shared" si="22"/>
        <v>18873.34</v>
      </c>
      <c r="I24" s="830">
        <f t="shared" si="22"/>
        <v>2649.36</v>
      </c>
      <c r="J24" s="830">
        <f t="shared" si="22"/>
        <v>0</v>
      </c>
      <c r="K24" s="832">
        <f t="shared" si="22"/>
        <v>81612.039999999994</v>
      </c>
      <c r="L24" s="830">
        <f t="shared" si="22"/>
        <v>47845.34</v>
      </c>
      <c r="M24" s="832">
        <f t="shared" si="22"/>
        <v>47845.34</v>
      </c>
      <c r="N24" s="831">
        <f t="shared" si="22"/>
        <v>129457.38</v>
      </c>
      <c r="O24" s="833">
        <f t="shared" si="22"/>
        <v>12000</v>
      </c>
      <c r="P24" s="833">
        <f t="shared" si="22"/>
        <v>5000</v>
      </c>
      <c r="Q24" s="841">
        <f t="shared" si="22"/>
        <v>17000</v>
      </c>
      <c r="R24" s="830">
        <f t="shared" si="22"/>
        <v>18084</v>
      </c>
      <c r="S24" s="830">
        <f t="shared" si="22"/>
        <v>1568</v>
      </c>
      <c r="T24" s="830">
        <f t="shared" si="22"/>
        <v>15390.64</v>
      </c>
      <c r="U24" s="832">
        <f t="shared" si="22"/>
        <v>35042.639999999999</v>
      </c>
      <c r="V24" s="830">
        <f t="shared" si="22"/>
        <v>0</v>
      </c>
      <c r="W24" s="830">
        <f t="shared" si="22"/>
        <v>5032.6499999999996</v>
      </c>
      <c r="X24" s="830">
        <f t="shared" si="22"/>
        <v>244.8</v>
      </c>
      <c r="Y24" s="830">
        <f t="shared" si="22"/>
        <v>15563.28</v>
      </c>
      <c r="Z24" s="832">
        <f t="shared" si="22"/>
        <v>20840.73</v>
      </c>
      <c r="AA24" s="830">
        <f t="shared" si="22"/>
        <v>7218.91</v>
      </c>
      <c r="AB24" s="830">
        <f t="shared" si="22"/>
        <v>0</v>
      </c>
      <c r="AC24" s="832">
        <f t="shared" si="22"/>
        <v>7218.91</v>
      </c>
      <c r="AD24" s="830">
        <f t="shared" si="22"/>
        <v>5194</v>
      </c>
      <c r="AE24" s="830">
        <f t="shared" si="22"/>
        <v>2363.5100000000002</v>
      </c>
      <c r="AF24" s="832">
        <f t="shared" si="22"/>
        <v>7557.51</v>
      </c>
      <c r="AG24" s="831">
        <f t="shared" si="22"/>
        <v>70659.790000000008</v>
      </c>
      <c r="AH24" s="833">
        <f t="shared" si="22"/>
        <v>16560</v>
      </c>
      <c r="AI24" s="830">
        <f t="shared" si="22"/>
        <v>4104.4799999999996</v>
      </c>
      <c r="AJ24" s="832">
        <f t="shared" si="22"/>
        <v>20664.48</v>
      </c>
      <c r="AK24" s="830">
        <f t="shared" si="22"/>
        <v>2500</v>
      </c>
      <c r="AL24" s="830">
        <f t="shared" si="22"/>
        <v>2979.13</v>
      </c>
      <c r="AM24" s="832">
        <f t="shared" si="22"/>
        <v>5479.13</v>
      </c>
      <c r="AN24" s="831">
        <f t="shared" si="22"/>
        <v>26143.61</v>
      </c>
      <c r="AO24" s="830">
        <f t="shared" si="22"/>
        <v>19111.82</v>
      </c>
      <c r="AP24" s="830">
        <f t="shared" si="22"/>
        <v>0</v>
      </c>
      <c r="AQ24" s="830">
        <f t="shared" si="22"/>
        <v>0</v>
      </c>
      <c r="AR24" s="832">
        <f t="shared" si="22"/>
        <v>19111.82</v>
      </c>
      <c r="AS24" s="830">
        <f t="shared" si="22"/>
        <v>0</v>
      </c>
      <c r="AT24" s="832">
        <f t="shared" si="22"/>
        <v>0</v>
      </c>
      <c r="AU24" s="831">
        <f t="shared" si="22"/>
        <v>19111.82</v>
      </c>
      <c r="AV24" s="830">
        <f t="shared" si="22"/>
        <v>6000</v>
      </c>
      <c r="AW24" s="831">
        <f t="shared" si="22"/>
        <v>6000</v>
      </c>
      <c r="AX24" s="830">
        <f t="shared" si="22"/>
        <v>268372.60000000003</v>
      </c>
      <c r="AY24" s="854">
        <f t="shared" si="22"/>
        <v>269389.46000000002</v>
      </c>
      <c r="AZ24" s="853">
        <f t="shared" si="22"/>
        <v>0</v>
      </c>
      <c r="BA24" s="828">
        <f t="shared" si="22"/>
        <v>0.44216135841751358</v>
      </c>
      <c r="BB24" s="849"/>
      <c r="BC24" s="816">
        <f t="shared" ref="BC24:BH24" si="23">SUM(BC8:BC23)</f>
        <v>127</v>
      </c>
      <c r="BD24" s="816">
        <f t="shared" si="23"/>
        <v>1</v>
      </c>
      <c r="BE24" s="816">
        <f t="shared" si="23"/>
        <v>128</v>
      </c>
      <c r="BF24" s="816">
        <f t="shared" si="23"/>
        <v>5528</v>
      </c>
      <c r="BG24" s="816">
        <f t="shared" si="23"/>
        <v>492</v>
      </c>
      <c r="BH24" s="816">
        <f t="shared" si="23"/>
        <v>6020</v>
      </c>
    </row>
    <row r="25" spans="1:60" s="848" customFormat="1" ht="42" customHeight="1" x14ac:dyDescent="0.45">
      <c r="A25" s="1452"/>
      <c r="B25" s="1453"/>
      <c r="C25" s="1453"/>
      <c r="D25" s="1453"/>
      <c r="E25" s="1454"/>
      <c r="F25" s="850">
        <f t="shared" ref="F25:AX25" si="24">F24/$AX$24</f>
        <v>0.1563328745184866</v>
      </c>
      <c r="G25" s="850">
        <f t="shared" si="24"/>
        <v>6.7569789166256167E-2</v>
      </c>
      <c r="H25" s="850">
        <f t="shared" si="24"/>
        <v>7.0325137514038308E-2</v>
      </c>
      <c r="I25" s="850">
        <f t="shared" si="24"/>
        <v>9.8719466890435162E-3</v>
      </c>
      <c r="J25" s="850">
        <f t="shared" si="24"/>
        <v>0</v>
      </c>
      <c r="K25" s="850">
        <f t="shared" si="24"/>
        <v>0.30409974788782457</v>
      </c>
      <c r="L25" s="850">
        <f t="shared" si="24"/>
        <v>0.17827952630037489</v>
      </c>
      <c r="M25" s="850">
        <f t="shared" si="24"/>
        <v>0.17827952630037489</v>
      </c>
      <c r="N25" s="850">
        <f t="shared" si="24"/>
        <v>0.48237927418819948</v>
      </c>
      <c r="O25" s="850">
        <f t="shared" si="24"/>
        <v>4.4713953659948888E-2</v>
      </c>
      <c r="P25" s="850">
        <f t="shared" si="24"/>
        <v>1.8630814024978702E-2</v>
      </c>
      <c r="Q25" s="850">
        <f t="shared" si="24"/>
        <v>6.3344767684927583E-2</v>
      </c>
      <c r="R25" s="850">
        <f t="shared" si="24"/>
        <v>6.7383928165542978E-2</v>
      </c>
      <c r="S25" s="850">
        <f t="shared" si="24"/>
        <v>5.8426232782333208E-3</v>
      </c>
      <c r="T25" s="850">
        <f t="shared" si="24"/>
        <v>5.734803031307964E-2</v>
      </c>
      <c r="U25" s="850">
        <f t="shared" si="24"/>
        <v>0.13057458175685593</v>
      </c>
      <c r="V25" s="850">
        <f t="shared" si="24"/>
        <v>0</v>
      </c>
      <c r="W25" s="850">
        <f t="shared" si="24"/>
        <v>1.8752473240561812E-2</v>
      </c>
      <c r="X25" s="850">
        <f t="shared" si="24"/>
        <v>9.1216465466295734E-4</v>
      </c>
      <c r="Y25" s="850">
        <f t="shared" si="24"/>
        <v>5.7991315059734108E-2</v>
      </c>
      <c r="Z25" s="850">
        <f t="shared" si="24"/>
        <v>7.7655952954958876E-2</v>
      </c>
      <c r="AA25" s="850">
        <f t="shared" si="24"/>
        <v>2.6898833934611802E-2</v>
      </c>
      <c r="AB25" s="850">
        <f t="shared" si="24"/>
        <v>0</v>
      </c>
      <c r="AC25" s="850">
        <f t="shared" si="24"/>
        <v>2.6898833934611802E-2</v>
      </c>
      <c r="AD25" s="850">
        <f t="shared" si="24"/>
        <v>1.9353689609147875E-2</v>
      </c>
      <c r="AE25" s="850">
        <f t="shared" si="24"/>
        <v>8.806823051235483E-3</v>
      </c>
      <c r="AF25" s="850">
        <f t="shared" si="24"/>
        <v>2.8160512660383361E-2</v>
      </c>
      <c r="AG25" s="850">
        <f t="shared" si="24"/>
        <v>0.26328988130681003</v>
      </c>
      <c r="AH25" s="850">
        <f t="shared" si="24"/>
        <v>6.1705256050729462E-2</v>
      </c>
      <c r="AI25" s="850">
        <f t="shared" si="24"/>
        <v>1.5293960709848915E-2</v>
      </c>
      <c r="AJ25" s="850">
        <f t="shared" si="24"/>
        <v>7.6999216760578373E-2</v>
      </c>
      <c r="AK25" s="850">
        <f t="shared" si="24"/>
        <v>9.3154070124893511E-3</v>
      </c>
      <c r="AL25" s="850">
        <f t="shared" si="24"/>
        <v>1.1100723397246961E-2</v>
      </c>
      <c r="AM25" s="850">
        <f t="shared" si="24"/>
        <v>2.0416130409736312E-2</v>
      </c>
      <c r="AN25" s="850">
        <f t="shared" si="24"/>
        <v>9.7415347170314692E-2</v>
      </c>
      <c r="AO25" s="850">
        <f t="shared" si="24"/>
        <v>7.1213752819773699E-2</v>
      </c>
      <c r="AP25" s="850">
        <f t="shared" si="24"/>
        <v>0</v>
      </c>
      <c r="AQ25" s="850">
        <f t="shared" si="24"/>
        <v>0</v>
      </c>
      <c r="AR25" s="850">
        <f t="shared" si="24"/>
        <v>7.1213752819773699E-2</v>
      </c>
      <c r="AS25" s="850">
        <f t="shared" si="24"/>
        <v>0</v>
      </c>
      <c r="AT25" s="850">
        <f t="shared" si="24"/>
        <v>0</v>
      </c>
      <c r="AU25" s="850">
        <f t="shared" si="24"/>
        <v>7.1213752819773699E-2</v>
      </c>
      <c r="AV25" s="850">
        <f t="shared" si="24"/>
        <v>2.2356976829974444E-2</v>
      </c>
      <c r="AW25" s="850">
        <f t="shared" si="24"/>
        <v>2.2356976829974444E-2</v>
      </c>
      <c r="AX25" s="850">
        <f t="shared" si="24"/>
        <v>1</v>
      </c>
      <c r="AY25" s="852">
        <f>AY24/$AX$46</f>
        <v>2.2246873485900225</v>
      </c>
      <c r="AZ25" s="851">
        <f>AZ24/$AX$46</f>
        <v>0</v>
      </c>
      <c r="BA25" s="850"/>
      <c r="BB25" s="849"/>
      <c r="BC25" s="783"/>
      <c r="BD25" s="783">
        <f>BD24/BC24</f>
        <v>7.874015748031496E-3</v>
      </c>
      <c r="BE25" s="783"/>
      <c r="BF25" s="783"/>
      <c r="BG25" s="783">
        <f>BG24/BF24</f>
        <v>8.9001447178002888E-2</v>
      </c>
      <c r="BH25" s="783"/>
    </row>
    <row r="26" spans="1:60" ht="82" x14ac:dyDescent="0.65">
      <c r="A26" s="840">
        <v>17</v>
      </c>
      <c r="B26" s="839" t="s">
        <v>892</v>
      </c>
      <c r="C26" s="838" t="s">
        <v>1388</v>
      </c>
      <c r="D26" s="838" t="s">
        <v>1113</v>
      </c>
      <c r="E26" s="837" t="s">
        <v>1112</v>
      </c>
      <c r="F26" s="830"/>
      <c r="G26" s="830"/>
      <c r="H26" s="830"/>
      <c r="I26" s="830"/>
      <c r="J26" s="830"/>
      <c r="K26" s="832">
        <f t="shared" ref="K26:K36" si="25">SUM(F26:J26)</f>
        <v>0</v>
      </c>
      <c r="L26" s="830"/>
      <c r="M26" s="832">
        <f t="shared" ref="M26:M36" si="26">SUM(L26)</f>
        <v>0</v>
      </c>
      <c r="N26" s="831">
        <f t="shared" ref="N26:N37" si="27">SUM(K26+M26)</f>
        <v>0</v>
      </c>
      <c r="O26" s="833">
        <v>2000</v>
      </c>
      <c r="P26" s="833"/>
      <c r="Q26" s="841">
        <f t="shared" ref="Q26:Q37" si="28">SUM(O26:P26)</f>
        <v>2000</v>
      </c>
      <c r="R26" s="830"/>
      <c r="S26" s="830"/>
      <c r="T26" s="830"/>
      <c r="U26" s="832">
        <f t="shared" ref="U26:U36" si="29">SUM(R26:T26)</f>
        <v>0</v>
      </c>
      <c r="V26" s="830"/>
      <c r="W26" s="830">
        <v>3439.88</v>
      </c>
      <c r="X26" s="830"/>
      <c r="Y26" s="830"/>
      <c r="Z26" s="832">
        <f t="shared" ref="Z26:Z36" si="30">SUM(V26:Y26)</f>
        <v>3439.88</v>
      </c>
      <c r="AA26" s="830">
        <v>3834</v>
      </c>
      <c r="AB26" s="830">
        <v>30</v>
      </c>
      <c r="AC26" s="832">
        <f t="shared" ref="AC26:AC36" si="31">SUM(AA26:AB26)</f>
        <v>3864</v>
      </c>
      <c r="AD26" s="830"/>
      <c r="AE26" s="834"/>
      <c r="AF26" s="832">
        <f t="shared" ref="AF26:AF36" si="32">SUM(AD26:AE26)</f>
        <v>0</v>
      </c>
      <c r="AG26" s="831">
        <f t="shared" ref="AG26:AG36" si="33">SUM(U26+Z26+AC26+AF26)</f>
        <v>7303.88</v>
      </c>
      <c r="AH26" s="830">
        <v>750</v>
      </c>
      <c r="AI26" s="830"/>
      <c r="AJ26" s="832">
        <f t="shared" ref="AJ26:AJ37" si="34">SUM(AH26:AI26)</f>
        <v>750</v>
      </c>
      <c r="AK26" s="830"/>
      <c r="AL26" s="830"/>
      <c r="AM26" s="832">
        <f t="shared" ref="AM26:AM36" si="35">SUM(AK26:AL26)</f>
        <v>0</v>
      </c>
      <c r="AN26" s="831">
        <f t="shared" ref="AN26:AN36" si="36">SUM(AJ26+AM26)</f>
        <v>750</v>
      </c>
      <c r="AO26" s="830"/>
      <c r="AP26" s="830"/>
      <c r="AQ26" s="830"/>
      <c r="AR26" s="832">
        <f t="shared" ref="AR26:AR36" si="37">SUM(AO26:AQ26)</f>
        <v>0</v>
      </c>
      <c r="AS26" s="830"/>
      <c r="AT26" s="832">
        <f t="shared" ref="AT26:AT36" si="38">SUM(AS26)</f>
        <v>0</v>
      </c>
      <c r="AU26" s="831">
        <f t="shared" ref="AU26:AU36" si="39">AR26+AT26</f>
        <v>0</v>
      </c>
      <c r="AV26" s="830"/>
      <c r="AW26" s="831">
        <f t="shared" ref="AW26:AW36" si="40">SUM(AV26)</f>
        <v>0</v>
      </c>
      <c r="AX26" s="830">
        <f t="shared" ref="AX26:AX36" si="41">SUM(AN26+AW26+AG26+Q26+AU26+N26)</f>
        <v>10053.880000000001</v>
      </c>
      <c r="AY26" s="829">
        <v>10068.969999999999</v>
      </c>
      <c r="AZ26" s="827" t="b">
        <f t="shared" ref="AZ26:AZ36" si="42">AY26=AX26</f>
        <v>0</v>
      </c>
      <c r="BA26" s="828">
        <f t="shared" ref="BA26:BA36" si="43">AX26/$AX$49</f>
        <v>1.6564422888799647E-2</v>
      </c>
      <c r="BB26" s="827"/>
      <c r="BC26" s="826">
        <v>2</v>
      </c>
      <c r="BD26" s="826">
        <v>0</v>
      </c>
      <c r="BE26" s="826">
        <f t="shared" ref="BE26:BE36" si="44">BC26+BD26</f>
        <v>2</v>
      </c>
      <c r="BF26" s="826">
        <v>206</v>
      </c>
      <c r="BG26" s="826">
        <v>0</v>
      </c>
      <c r="BH26" s="826">
        <f t="shared" ref="BH26:BH36" si="45">BG26+BF26</f>
        <v>206</v>
      </c>
    </row>
    <row r="27" spans="1:60" ht="61.5" x14ac:dyDescent="0.65">
      <c r="A27" s="840">
        <f t="shared" ref="A27:A36" si="46">+A26+1</f>
        <v>18</v>
      </c>
      <c r="B27" s="839" t="s">
        <v>892</v>
      </c>
      <c r="C27" s="838" t="s">
        <v>1388</v>
      </c>
      <c r="D27" s="838" t="s">
        <v>1111</v>
      </c>
      <c r="E27" s="837" t="s">
        <v>1110</v>
      </c>
      <c r="F27" s="830"/>
      <c r="G27" s="830">
        <v>2229.56</v>
      </c>
      <c r="H27" s="830"/>
      <c r="I27" s="833"/>
      <c r="J27" s="830">
        <v>3745</v>
      </c>
      <c r="K27" s="832">
        <f t="shared" si="25"/>
        <v>5974.5599999999995</v>
      </c>
      <c r="L27" s="834">
        <v>5152.8</v>
      </c>
      <c r="M27" s="832">
        <f t="shared" si="26"/>
        <v>5152.8</v>
      </c>
      <c r="N27" s="831">
        <f t="shared" si="27"/>
        <v>11127.36</v>
      </c>
      <c r="O27" s="833">
        <v>2000</v>
      </c>
      <c r="P27" s="833"/>
      <c r="Q27" s="841">
        <f t="shared" si="28"/>
        <v>2000</v>
      </c>
      <c r="R27" s="833"/>
      <c r="S27" s="830"/>
      <c r="T27" s="830"/>
      <c r="U27" s="832">
        <f t="shared" si="29"/>
        <v>0</v>
      </c>
      <c r="V27" s="830"/>
      <c r="W27" s="830"/>
      <c r="X27" s="830"/>
      <c r="Y27" s="830"/>
      <c r="Z27" s="832">
        <f t="shared" si="30"/>
        <v>0</v>
      </c>
      <c r="AA27" s="830">
        <v>2107.9499999999998</v>
      </c>
      <c r="AB27" s="830">
        <v>30</v>
      </c>
      <c r="AC27" s="832">
        <f t="shared" si="31"/>
        <v>2137.9499999999998</v>
      </c>
      <c r="AD27" s="830"/>
      <c r="AE27" s="834">
        <v>484</v>
      </c>
      <c r="AF27" s="832">
        <f t="shared" si="32"/>
        <v>484</v>
      </c>
      <c r="AG27" s="831">
        <f t="shared" si="33"/>
        <v>2621.95</v>
      </c>
      <c r="AH27" s="830">
        <v>750</v>
      </c>
      <c r="AI27" s="830"/>
      <c r="AJ27" s="832">
        <f t="shared" si="34"/>
        <v>750</v>
      </c>
      <c r="AK27" s="830"/>
      <c r="AL27" s="830"/>
      <c r="AM27" s="832">
        <f t="shared" si="35"/>
        <v>0</v>
      </c>
      <c r="AN27" s="831">
        <f t="shared" si="36"/>
        <v>750</v>
      </c>
      <c r="AO27" s="830"/>
      <c r="AP27" s="830"/>
      <c r="AQ27" s="830"/>
      <c r="AR27" s="832">
        <f t="shared" si="37"/>
        <v>0</v>
      </c>
      <c r="AS27" s="830"/>
      <c r="AT27" s="832">
        <f t="shared" si="38"/>
        <v>0</v>
      </c>
      <c r="AU27" s="831">
        <f t="shared" si="39"/>
        <v>0</v>
      </c>
      <c r="AV27" s="830">
        <v>750</v>
      </c>
      <c r="AW27" s="831">
        <f t="shared" si="40"/>
        <v>750</v>
      </c>
      <c r="AX27" s="830">
        <f t="shared" si="41"/>
        <v>17249.310000000001</v>
      </c>
      <c r="AY27" s="829">
        <v>17259.22</v>
      </c>
      <c r="AZ27" s="827" t="b">
        <f t="shared" si="42"/>
        <v>0</v>
      </c>
      <c r="BA27" s="828">
        <f t="shared" si="43"/>
        <v>2.8419363010101638E-2</v>
      </c>
      <c r="BB27" s="827"/>
      <c r="BC27" s="826">
        <v>3</v>
      </c>
      <c r="BD27" s="826">
        <v>0</v>
      </c>
      <c r="BE27" s="826">
        <f t="shared" si="44"/>
        <v>3</v>
      </c>
      <c r="BF27" s="826">
        <v>320</v>
      </c>
      <c r="BG27" s="826">
        <v>0</v>
      </c>
      <c r="BH27" s="826">
        <f t="shared" si="45"/>
        <v>320</v>
      </c>
    </row>
    <row r="28" spans="1:60" ht="41" x14ac:dyDescent="0.65">
      <c r="A28" s="840">
        <f t="shared" si="46"/>
        <v>19</v>
      </c>
      <c r="B28" s="839" t="s">
        <v>892</v>
      </c>
      <c r="C28" s="838" t="s">
        <v>1388</v>
      </c>
      <c r="D28" s="838" t="s">
        <v>1109</v>
      </c>
      <c r="E28" s="837" t="s">
        <v>1108</v>
      </c>
      <c r="F28" s="830"/>
      <c r="G28" s="830">
        <v>2147.7800000000002</v>
      </c>
      <c r="H28" s="830"/>
      <c r="I28" s="833"/>
      <c r="J28" s="830"/>
      <c r="K28" s="832">
        <f t="shared" si="25"/>
        <v>2147.7800000000002</v>
      </c>
      <c r="L28" s="834"/>
      <c r="M28" s="832">
        <f t="shared" si="26"/>
        <v>0</v>
      </c>
      <c r="N28" s="831">
        <f t="shared" si="27"/>
        <v>2147.7800000000002</v>
      </c>
      <c r="O28" s="833">
        <v>2000</v>
      </c>
      <c r="P28" s="833"/>
      <c r="Q28" s="841">
        <f t="shared" si="28"/>
        <v>2000</v>
      </c>
      <c r="R28" s="830"/>
      <c r="S28" s="830"/>
      <c r="T28" s="830"/>
      <c r="U28" s="832">
        <f t="shared" si="29"/>
        <v>0</v>
      </c>
      <c r="V28" s="830"/>
      <c r="W28" s="830"/>
      <c r="X28" s="830"/>
      <c r="Y28" s="830"/>
      <c r="Z28" s="832">
        <f t="shared" si="30"/>
        <v>0</v>
      </c>
      <c r="AA28" s="830">
        <v>5200</v>
      </c>
      <c r="AB28" s="830"/>
      <c r="AC28" s="832">
        <f t="shared" si="31"/>
        <v>5200</v>
      </c>
      <c r="AD28" s="830"/>
      <c r="AE28" s="834"/>
      <c r="AF28" s="832">
        <f t="shared" si="32"/>
        <v>0</v>
      </c>
      <c r="AG28" s="831">
        <f t="shared" si="33"/>
        <v>5200</v>
      </c>
      <c r="AH28" s="830">
        <v>750</v>
      </c>
      <c r="AI28" s="830"/>
      <c r="AJ28" s="832">
        <f t="shared" si="34"/>
        <v>750</v>
      </c>
      <c r="AK28" s="830"/>
      <c r="AL28" s="830"/>
      <c r="AM28" s="832">
        <f t="shared" si="35"/>
        <v>0</v>
      </c>
      <c r="AN28" s="831">
        <f t="shared" si="36"/>
        <v>750</v>
      </c>
      <c r="AO28" s="833"/>
      <c r="AP28" s="830"/>
      <c r="AQ28" s="830"/>
      <c r="AR28" s="832">
        <f t="shared" si="37"/>
        <v>0</v>
      </c>
      <c r="AS28" s="830"/>
      <c r="AT28" s="832">
        <f t="shared" si="38"/>
        <v>0</v>
      </c>
      <c r="AU28" s="831">
        <f t="shared" si="39"/>
        <v>0</v>
      </c>
      <c r="AV28" s="830">
        <v>750</v>
      </c>
      <c r="AW28" s="831">
        <f t="shared" si="40"/>
        <v>750</v>
      </c>
      <c r="AX28" s="830">
        <f t="shared" si="41"/>
        <v>10847.78</v>
      </c>
      <c r="AY28" s="829">
        <v>10858.74</v>
      </c>
      <c r="AZ28" s="827" t="b">
        <f t="shared" si="42"/>
        <v>0</v>
      </c>
      <c r="BA28" s="828">
        <f t="shared" si="43"/>
        <v>1.7872424907067027E-2</v>
      </c>
      <c r="BB28" s="827"/>
      <c r="BC28" s="826">
        <v>5</v>
      </c>
      <c r="BD28" s="826">
        <v>0</v>
      </c>
      <c r="BE28" s="826">
        <f t="shared" si="44"/>
        <v>5</v>
      </c>
      <c r="BF28" s="826">
        <v>252</v>
      </c>
      <c r="BG28" s="826">
        <v>0</v>
      </c>
      <c r="BH28" s="826">
        <f t="shared" si="45"/>
        <v>252</v>
      </c>
    </row>
    <row r="29" spans="1:60" ht="61.5" x14ac:dyDescent="0.65">
      <c r="A29" s="840">
        <f t="shared" si="46"/>
        <v>20</v>
      </c>
      <c r="B29" s="839" t="s">
        <v>892</v>
      </c>
      <c r="C29" s="838" t="s">
        <v>1388</v>
      </c>
      <c r="D29" s="838" t="s">
        <v>1106</v>
      </c>
      <c r="E29" s="837" t="s">
        <v>1105</v>
      </c>
      <c r="F29" s="830"/>
      <c r="G29" s="830"/>
      <c r="H29" s="830" t="s">
        <v>1389</v>
      </c>
      <c r="I29" s="830"/>
      <c r="J29" s="830"/>
      <c r="K29" s="832">
        <f t="shared" si="25"/>
        <v>0</v>
      </c>
      <c r="L29" s="830">
        <v>12339.8</v>
      </c>
      <c r="M29" s="832">
        <f t="shared" si="26"/>
        <v>12339.8</v>
      </c>
      <c r="N29" s="831">
        <f t="shared" si="27"/>
        <v>12339.8</v>
      </c>
      <c r="O29" s="833" t="s">
        <v>1390</v>
      </c>
      <c r="P29" s="833" t="s">
        <v>1390</v>
      </c>
      <c r="Q29" s="841">
        <f t="shared" si="28"/>
        <v>0</v>
      </c>
      <c r="R29" s="830"/>
      <c r="S29" s="830"/>
      <c r="T29" s="830"/>
      <c r="U29" s="832">
        <f t="shared" si="29"/>
        <v>0</v>
      </c>
      <c r="V29" s="830"/>
      <c r="W29" s="830"/>
      <c r="X29" s="830"/>
      <c r="Y29" s="830"/>
      <c r="Z29" s="832">
        <f t="shared" si="30"/>
        <v>0</v>
      </c>
      <c r="AA29" s="830">
        <v>4950</v>
      </c>
      <c r="AB29" s="830">
        <v>180</v>
      </c>
      <c r="AC29" s="832">
        <f t="shared" si="31"/>
        <v>5130</v>
      </c>
      <c r="AD29" s="830"/>
      <c r="AE29" s="834">
        <v>2100</v>
      </c>
      <c r="AF29" s="832">
        <f t="shared" si="32"/>
        <v>2100</v>
      </c>
      <c r="AG29" s="831">
        <f t="shared" si="33"/>
        <v>7230</v>
      </c>
      <c r="AH29" s="830">
        <v>750</v>
      </c>
      <c r="AI29" s="830"/>
      <c r="AJ29" s="832">
        <f t="shared" si="34"/>
        <v>750</v>
      </c>
      <c r="AK29" s="830"/>
      <c r="AL29" s="830"/>
      <c r="AM29" s="832">
        <f t="shared" si="35"/>
        <v>0</v>
      </c>
      <c r="AN29" s="831">
        <f t="shared" si="36"/>
        <v>750</v>
      </c>
      <c r="AO29" s="833"/>
      <c r="AP29" s="830"/>
      <c r="AQ29" s="830" t="s">
        <v>1389</v>
      </c>
      <c r="AR29" s="832">
        <f t="shared" si="37"/>
        <v>0</v>
      </c>
      <c r="AS29" s="830"/>
      <c r="AT29" s="832">
        <f t="shared" si="38"/>
        <v>0</v>
      </c>
      <c r="AU29" s="831">
        <f t="shared" si="39"/>
        <v>0</v>
      </c>
      <c r="AV29" s="830">
        <v>750</v>
      </c>
      <c r="AW29" s="831">
        <f t="shared" si="40"/>
        <v>750</v>
      </c>
      <c r="AX29" s="830">
        <f t="shared" si="41"/>
        <v>21069.8</v>
      </c>
      <c r="AY29" s="829">
        <v>21089.52</v>
      </c>
      <c r="AZ29" s="827" t="b">
        <f t="shared" si="42"/>
        <v>0</v>
      </c>
      <c r="BA29" s="828">
        <f t="shared" si="43"/>
        <v>3.4713869409862735E-2</v>
      </c>
      <c r="BB29" s="827"/>
      <c r="BC29" s="826">
        <v>5</v>
      </c>
      <c r="BD29" s="826">
        <v>0</v>
      </c>
      <c r="BE29" s="826">
        <f t="shared" si="44"/>
        <v>5</v>
      </c>
      <c r="BF29" s="826">
        <v>190</v>
      </c>
      <c r="BG29" s="826">
        <v>0</v>
      </c>
      <c r="BH29" s="826">
        <f t="shared" si="45"/>
        <v>190</v>
      </c>
    </row>
    <row r="30" spans="1:60" ht="61.5" x14ac:dyDescent="0.65">
      <c r="A30" s="840">
        <f t="shared" si="46"/>
        <v>21</v>
      </c>
      <c r="B30" s="839" t="s">
        <v>892</v>
      </c>
      <c r="C30" s="838" t="s">
        <v>1388</v>
      </c>
      <c r="D30" s="838" t="s">
        <v>1104</v>
      </c>
      <c r="E30" s="837" t="s">
        <v>1103</v>
      </c>
      <c r="F30" s="830"/>
      <c r="G30" s="830"/>
      <c r="H30" s="830"/>
      <c r="I30" s="830"/>
      <c r="J30" s="830"/>
      <c r="K30" s="832">
        <f t="shared" si="25"/>
        <v>0</v>
      </c>
      <c r="L30" s="830"/>
      <c r="M30" s="832">
        <f t="shared" si="26"/>
        <v>0</v>
      </c>
      <c r="N30" s="831">
        <f t="shared" si="27"/>
        <v>0</v>
      </c>
      <c r="O30" s="833"/>
      <c r="P30" s="833"/>
      <c r="Q30" s="841">
        <f t="shared" si="28"/>
        <v>0</v>
      </c>
      <c r="R30" s="830"/>
      <c r="S30" s="830"/>
      <c r="T30" s="830"/>
      <c r="U30" s="832">
        <f t="shared" si="29"/>
        <v>0</v>
      </c>
      <c r="V30" s="833"/>
      <c r="W30" s="830">
        <v>4442.63</v>
      </c>
      <c r="X30" s="830"/>
      <c r="Y30" s="830"/>
      <c r="Z30" s="832">
        <f t="shared" si="30"/>
        <v>4442.63</v>
      </c>
      <c r="AA30" s="830">
        <v>4696.5</v>
      </c>
      <c r="AB30" s="830">
        <v>30</v>
      </c>
      <c r="AC30" s="832">
        <f t="shared" si="31"/>
        <v>4726.5</v>
      </c>
      <c r="AD30" s="830"/>
      <c r="AE30" s="834"/>
      <c r="AF30" s="832">
        <f t="shared" si="32"/>
        <v>0</v>
      </c>
      <c r="AG30" s="831">
        <f t="shared" si="33"/>
        <v>9169.130000000001</v>
      </c>
      <c r="AH30" s="830">
        <v>750</v>
      </c>
      <c r="AI30" s="830"/>
      <c r="AJ30" s="832">
        <f t="shared" si="34"/>
        <v>750</v>
      </c>
      <c r="AK30" s="830"/>
      <c r="AL30" s="830"/>
      <c r="AM30" s="832">
        <f t="shared" si="35"/>
        <v>0</v>
      </c>
      <c r="AN30" s="831">
        <f t="shared" si="36"/>
        <v>750</v>
      </c>
      <c r="AO30" s="830"/>
      <c r="AP30" s="830"/>
      <c r="AQ30" s="830"/>
      <c r="AR30" s="832">
        <f t="shared" si="37"/>
        <v>0</v>
      </c>
      <c r="AS30" s="830"/>
      <c r="AT30" s="832">
        <f t="shared" si="38"/>
        <v>0</v>
      </c>
      <c r="AU30" s="831">
        <f t="shared" si="39"/>
        <v>0</v>
      </c>
      <c r="AV30" s="830">
        <v>750</v>
      </c>
      <c r="AW30" s="831">
        <f t="shared" si="40"/>
        <v>750</v>
      </c>
      <c r="AX30" s="830">
        <f t="shared" si="41"/>
        <v>10669.130000000001</v>
      </c>
      <c r="AY30" s="829">
        <v>10676.44</v>
      </c>
      <c r="AZ30" s="827" t="b">
        <f t="shared" si="42"/>
        <v>0</v>
      </c>
      <c r="BA30" s="828">
        <f t="shared" si="43"/>
        <v>1.7578087382739697E-2</v>
      </c>
      <c r="BB30" s="827"/>
      <c r="BC30" s="826">
        <v>5</v>
      </c>
      <c r="BD30" s="826">
        <v>0</v>
      </c>
      <c r="BE30" s="826">
        <f t="shared" si="44"/>
        <v>5</v>
      </c>
      <c r="BF30" s="826">
        <v>225</v>
      </c>
      <c r="BG30" s="826">
        <v>0</v>
      </c>
      <c r="BH30" s="826">
        <f t="shared" si="45"/>
        <v>225</v>
      </c>
    </row>
    <row r="31" spans="1:60" ht="61.5" x14ac:dyDescent="0.65">
      <c r="A31" s="840">
        <f t="shared" si="46"/>
        <v>22</v>
      </c>
      <c r="B31" s="839" t="s">
        <v>892</v>
      </c>
      <c r="C31" s="838" t="s">
        <v>1388</v>
      </c>
      <c r="D31" s="838" t="s">
        <v>1102</v>
      </c>
      <c r="E31" s="837" t="s">
        <v>1101</v>
      </c>
      <c r="F31" s="830">
        <v>5899.8</v>
      </c>
      <c r="G31" s="830"/>
      <c r="H31" s="830"/>
      <c r="I31" s="830"/>
      <c r="J31" s="830"/>
      <c r="K31" s="832">
        <f t="shared" si="25"/>
        <v>5899.8</v>
      </c>
      <c r="L31" s="834"/>
      <c r="M31" s="832">
        <f t="shared" si="26"/>
        <v>0</v>
      </c>
      <c r="N31" s="831">
        <f t="shared" si="27"/>
        <v>5899.8</v>
      </c>
      <c r="O31" s="833">
        <v>2000</v>
      </c>
      <c r="P31" s="833"/>
      <c r="Q31" s="841">
        <f t="shared" si="28"/>
        <v>2000</v>
      </c>
      <c r="R31" s="830"/>
      <c r="S31" s="830"/>
      <c r="T31" s="830"/>
      <c r="U31" s="832">
        <f t="shared" si="29"/>
        <v>0</v>
      </c>
      <c r="V31" s="830"/>
      <c r="W31" s="830"/>
      <c r="X31" s="830"/>
      <c r="Y31" s="830"/>
      <c r="Z31" s="832">
        <f t="shared" si="30"/>
        <v>0</v>
      </c>
      <c r="AA31" s="830">
        <v>7148.5</v>
      </c>
      <c r="AB31" s="830">
        <v>60</v>
      </c>
      <c r="AC31" s="832">
        <f t="shared" si="31"/>
        <v>7208.5</v>
      </c>
      <c r="AD31" s="830"/>
      <c r="AE31" s="834"/>
      <c r="AF31" s="832">
        <f t="shared" si="32"/>
        <v>0</v>
      </c>
      <c r="AG31" s="831">
        <f t="shared" si="33"/>
        <v>7208.5</v>
      </c>
      <c r="AH31" s="830">
        <v>750</v>
      </c>
      <c r="AI31" s="830"/>
      <c r="AJ31" s="832">
        <f t="shared" si="34"/>
        <v>750</v>
      </c>
      <c r="AK31" s="830"/>
      <c r="AL31" s="830"/>
      <c r="AM31" s="832">
        <f t="shared" si="35"/>
        <v>0</v>
      </c>
      <c r="AN31" s="831">
        <f t="shared" si="36"/>
        <v>750</v>
      </c>
      <c r="AO31" s="833"/>
      <c r="AP31" s="830"/>
      <c r="AQ31" s="830"/>
      <c r="AR31" s="832">
        <f t="shared" si="37"/>
        <v>0</v>
      </c>
      <c r="AS31" s="830"/>
      <c r="AT31" s="832">
        <f t="shared" si="38"/>
        <v>0</v>
      </c>
      <c r="AU31" s="831">
        <f t="shared" si="39"/>
        <v>0</v>
      </c>
      <c r="AV31" s="830">
        <v>750</v>
      </c>
      <c r="AW31" s="831">
        <f t="shared" si="40"/>
        <v>750</v>
      </c>
      <c r="AX31" s="830">
        <f t="shared" si="41"/>
        <v>16608.3</v>
      </c>
      <c r="AY31" s="829">
        <v>16699.400000000001</v>
      </c>
      <c r="AZ31" s="827" t="b">
        <f t="shared" si="42"/>
        <v>0</v>
      </c>
      <c r="BA31" s="828">
        <f t="shared" si="43"/>
        <v>2.7363257236415309E-2</v>
      </c>
      <c r="BB31" s="827"/>
      <c r="BC31" s="826">
        <v>2</v>
      </c>
      <c r="BD31" s="826">
        <v>0</v>
      </c>
      <c r="BE31" s="826">
        <f t="shared" si="44"/>
        <v>2</v>
      </c>
      <c r="BF31" s="826">
        <v>300</v>
      </c>
      <c r="BG31" s="826">
        <v>0</v>
      </c>
      <c r="BH31" s="826">
        <f t="shared" si="45"/>
        <v>300</v>
      </c>
    </row>
    <row r="32" spans="1:60" ht="61.5" x14ac:dyDescent="0.65">
      <c r="A32" s="840">
        <f t="shared" si="46"/>
        <v>23</v>
      </c>
      <c r="B32" s="839" t="s">
        <v>892</v>
      </c>
      <c r="C32" s="838" t="s">
        <v>1388</v>
      </c>
      <c r="D32" s="838" t="s">
        <v>1100</v>
      </c>
      <c r="E32" s="837" t="s">
        <v>1099</v>
      </c>
      <c r="F32" s="830">
        <v>28672.61</v>
      </c>
      <c r="G32" s="830"/>
      <c r="H32" s="830"/>
      <c r="I32" s="830"/>
      <c r="J32" s="830"/>
      <c r="K32" s="832">
        <f t="shared" si="25"/>
        <v>28672.61</v>
      </c>
      <c r="L32" s="834"/>
      <c r="M32" s="832">
        <f t="shared" si="26"/>
        <v>0</v>
      </c>
      <c r="N32" s="831">
        <f t="shared" si="27"/>
        <v>28672.61</v>
      </c>
      <c r="O32" s="833">
        <v>2000</v>
      </c>
      <c r="P32" s="833"/>
      <c r="Q32" s="841">
        <f t="shared" si="28"/>
        <v>2000</v>
      </c>
      <c r="R32" s="830">
        <v>4800</v>
      </c>
      <c r="S32" s="830"/>
      <c r="T32" s="830"/>
      <c r="U32" s="832">
        <f t="shared" si="29"/>
        <v>4800</v>
      </c>
      <c r="V32" s="830"/>
      <c r="W32" s="830"/>
      <c r="X32" s="830"/>
      <c r="Y32" s="830"/>
      <c r="Z32" s="832">
        <f t="shared" si="30"/>
        <v>0</v>
      </c>
      <c r="AA32" s="830">
        <v>3350</v>
      </c>
      <c r="AB32" s="830">
        <v>120</v>
      </c>
      <c r="AC32" s="832">
        <f t="shared" si="31"/>
        <v>3470</v>
      </c>
      <c r="AD32" s="830"/>
      <c r="AE32" s="834"/>
      <c r="AF32" s="832">
        <f t="shared" si="32"/>
        <v>0</v>
      </c>
      <c r="AG32" s="831">
        <f t="shared" si="33"/>
        <v>8270</v>
      </c>
      <c r="AH32" s="830">
        <v>750</v>
      </c>
      <c r="AI32" s="830"/>
      <c r="AJ32" s="832">
        <f t="shared" si="34"/>
        <v>750</v>
      </c>
      <c r="AK32" s="830"/>
      <c r="AL32" s="830"/>
      <c r="AM32" s="832">
        <f t="shared" si="35"/>
        <v>0</v>
      </c>
      <c r="AN32" s="831">
        <f t="shared" si="36"/>
        <v>750</v>
      </c>
      <c r="AO32" s="833"/>
      <c r="AP32" s="830"/>
      <c r="AQ32" s="830"/>
      <c r="AR32" s="832">
        <f t="shared" si="37"/>
        <v>0</v>
      </c>
      <c r="AS32" s="830"/>
      <c r="AT32" s="832">
        <f t="shared" si="38"/>
        <v>0</v>
      </c>
      <c r="AU32" s="831">
        <f t="shared" si="39"/>
        <v>0</v>
      </c>
      <c r="AV32" s="830">
        <v>750</v>
      </c>
      <c r="AW32" s="831">
        <f t="shared" si="40"/>
        <v>750</v>
      </c>
      <c r="AX32" s="830">
        <f t="shared" si="41"/>
        <v>40442.61</v>
      </c>
      <c r="AY32" s="829">
        <v>40445.51</v>
      </c>
      <c r="AZ32" s="827" t="b">
        <f t="shared" si="42"/>
        <v>0</v>
      </c>
      <c r="BA32" s="828">
        <f t="shared" si="43"/>
        <v>6.6631837138179231E-2</v>
      </c>
      <c r="BB32" s="827"/>
      <c r="BC32" s="826">
        <v>9</v>
      </c>
      <c r="BD32" s="826">
        <v>0</v>
      </c>
      <c r="BE32" s="826">
        <f t="shared" si="44"/>
        <v>9</v>
      </c>
      <c r="BF32" s="826">
        <v>175</v>
      </c>
      <c r="BG32" s="826">
        <v>134</v>
      </c>
      <c r="BH32" s="826">
        <f t="shared" si="45"/>
        <v>309</v>
      </c>
    </row>
    <row r="33" spans="1:60" ht="61.5" x14ac:dyDescent="0.65">
      <c r="A33" s="840">
        <f t="shared" si="46"/>
        <v>24</v>
      </c>
      <c r="B33" s="839" t="s">
        <v>892</v>
      </c>
      <c r="C33" s="838" t="s">
        <v>1388</v>
      </c>
      <c r="D33" s="838" t="s">
        <v>1098</v>
      </c>
      <c r="E33" s="837" t="s">
        <v>1097</v>
      </c>
      <c r="F33" s="830">
        <v>20148</v>
      </c>
      <c r="G33" s="830"/>
      <c r="H33" s="830"/>
      <c r="I33" s="830"/>
      <c r="J33" s="830"/>
      <c r="K33" s="832">
        <f t="shared" si="25"/>
        <v>20148</v>
      </c>
      <c r="L33" s="834">
        <v>6055.56</v>
      </c>
      <c r="M33" s="832">
        <f t="shared" si="26"/>
        <v>6055.56</v>
      </c>
      <c r="N33" s="831">
        <f t="shared" si="27"/>
        <v>26203.56</v>
      </c>
      <c r="O33" s="833">
        <v>2000</v>
      </c>
      <c r="P33" s="833"/>
      <c r="Q33" s="841">
        <f t="shared" si="28"/>
        <v>2000</v>
      </c>
      <c r="R33" s="830"/>
      <c r="S33" s="830"/>
      <c r="T33" s="830"/>
      <c r="U33" s="832">
        <f t="shared" si="29"/>
        <v>0</v>
      </c>
      <c r="V33" s="830">
        <v>1270.8599999999999</v>
      </c>
      <c r="W33" s="830"/>
      <c r="X33" s="830"/>
      <c r="Y33" s="830"/>
      <c r="Z33" s="832">
        <f t="shared" si="30"/>
        <v>1270.8599999999999</v>
      </c>
      <c r="AA33" s="830">
        <v>3228.75</v>
      </c>
      <c r="AB33" s="830">
        <v>60</v>
      </c>
      <c r="AC33" s="832">
        <f t="shared" si="31"/>
        <v>3288.75</v>
      </c>
      <c r="AD33" s="830"/>
      <c r="AE33" s="834">
        <v>1039.5</v>
      </c>
      <c r="AF33" s="832">
        <f t="shared" si="32"/>
        <v>1039.5</v>
      </c>
      <c r="AG33" s="831">
        <f t="shared" si="33"/>
        <v>5599.11</v>
      </c>
      <c r="AH33" s="830">
        <v>750</v>
      </c>
      <c r="AI33" s="830"/>
      <c r="AJ33" s="832">
        <f t="shared" si="34"/>
        <v>750</v>
      </c>
      <c r="AK33" s="830"/>
      <c r="AL33" s="830"/>
      <c r="AM33" s="832">
        <f t="shared" si="35"/>
        <v>0</v>
      </c>
      <c r="AN33" s="831">
        <f t="shared" si="36"/>
        <v>750</v>
      </c>
      <c r="AO33" s="833"/>
      <c r="AP33" s="830"/>
      <c r="AQ33" s="830"/>
      <c r="AR33" s="832">
        <f t="shared" si="37"/>
        <v>0</v>
      </c>
      <c r="AS33" s="830"/>
      <c r="AT33" s="832">
        <f t="shared" si="38"/>
        <v>0</v>
      </c>
      <c r="AU33" s="831">
        <f t="shared" si="39"/>
        <v>0</v>
      </c>
      <c r="AV33" s="830">
        <v>750</v>
      </c>
      <c r="AW33" s="831">
        <f t="shared" si="40"/>
        <v>750</v>
      </c>
      <c r="AX33" s="830">
        <f t="shared" si="41"/>
        <v>35302.67</v>
      </c>
      <c r="AY33" s="829">
        <v>35465.42</v>
      </c>
      <c r="AZ33" s="827" t="b">
        <f t="shared" si="42"/>
        <v>0</v>
      </c>
      <c r="BA33" s="828">
        <f t="shared" si="43"/>
        <v>5.8163450825327194E-2</v>
      </c>
      <c r="BB33" s="827"/>
      <c r="BC33" s="826">
        <v>2</v>
      </c>
      <c r="BD33" s="826">
        <v>0</v>
      </c>
      <c r="BE33" s="826">
        <f t="shared" si="44"/>
        <v>2</v>
      </c>
      <c r="BF33" s="826">
        <v>160</v>
      </c>
      <c r="BG33" s="826">
        <v>0</v>
      </c>
      <c r="BH33" s="826">
        <f t="shared" si="45"/>
        <v>160</v>
      </c>
    </row>
    <row r="34" spans="1:60" ht="67.5" x14ac:dyDescent="0.65">
      <c r="A34" s="840">
        <f t="shared" si="46"/>
        <v>25</v>
      </c>
      <c r="B34" s="839" t="s">
        <v>892</v>
      </c>
      <c r="C34" s="838" t="s">
        <v>1388</v>
      </c>
      <c r="D34" s="838" t="s">
        <v>1096</v>
      </c>
      <c r="E34" s="837" t="s">
        <v>1095</v>
      </c>
      <c r="F34" s="830">
        <v>4914.8599999999997</v>
      </c>
      <c r="G34" s="830"/>
      <c r="H34" s="830"/>
      <c r="I34" s="830"/>
      <c r="J34" s="830"/>
      <c r="K34" s="832">
        <f t="shared" si="25"/>
        <v>4914.8599999999997</v>
      </c>
      <c r="L34" s="834"/>
      <c r="M34" s="832">
        <f t="shared" si="26"/>
        <v>0</v>
      </c>
      <c r="N34" s="831">
        <f t="shared" si="27"/>
        <v>4914.8599999999997</v>
      </c>
      <c r="O34" s="833">
        <v>2000</v>
      </c>
      <c r="P34" s="833"/>
      <c r="Q34" s="841">
        <f t="shared" si="28"/>
        <v>2000</v>
      </c>
      <c r="R34" s="830"/>
      <c r="S34" s="830"/>
      <c r="T34" s="830"/>
      <c r="U34" s="832">
        <f t="shared" si="29"/>
        <v>0</v>
      </c>
      <c r="V34" s="830"/>
      <c r="W34" s="830"/>
      <c r="X34" s="830"/>
      <c r="Y34" s="830"/>
      <c r="Z34" s="832">
        <f t="shared" si="30"/>
        <v>0</v>
      </c>
      <c r="AA34" s="830">
        <v>2880</v>
      </c>
      <c r="AB34" s="830"/>
      <c r="AC34" s="832">
        <f t="shared" si="31"/>
        <v>2880</v>
      </c>
      <c r="AD34" s="830"/>
      <c r="AE34" s="834">
        <v>2232.5</v>
      </c>
      <c r="AF34" s="832">
        <f t="shared" si="32"/>
        <v>2232.5</v>
      </c>
      <c r="AG34" s="831">
        <f t="shared" si="33"/>
        <v>5112.5</v>
      </c>
      <c r="AH34" s="830">
        <v>750</v>
      </c>
      <c r="AI34" s="830"/>
      <c r="AJ34" s="832">
        <f t="shared" si="34"/>
        <v>750</v>
      </c>
      <c r="AK34" s="830"/>
      <c r="AL34" s="830"/>
      <c r="AM34" s="832">
        <f t="shared" si="35"/>
        <v>0</v>
      </c>
      <c r="AN34" s="831">
        <f t="shared" si="36"/>
        <v>750</v>
      </c>
      <c r="AO34" s="830"/>
      <c r="AP34" s="830"/>
      <c r="AQ34" s="830"/>
      <c r="AR34" s="832">
        <f t="shared" si="37"/>
        <v>0</v>
      </c>
      <c r="AS34" s="830"/>
      <c r="AT34" s="832">
        <f t="shared" si="38"/>
        <v>0</v>
      </c>
      <c r="AU34" s="831">
        <f t="shared" si="39"/>
        <v>0</v>
      </c>
      <c r="AV34" s="830">
        <v>750</v>
      </c>
      <c r="AW34" s="831">
        <f t="shared" si="40"/>
        <v>750</v>
      </c>
      <c r="AX34" s="830">
        <f t="shared" si="41"/>
        <v>13527.36</v>
      </c>
      <c r="AY34" s="829">
        <v>13531.05</v>
      </c>
      <c r="AZ34" s="827" t="b">
        <f t="shared" si="42"/>
        <v>0</v>
      </c>
      <c r="BA34" s="828">
        <f t="shared" si="43"/>
        <v>2.2287207685891694E-2</v>
      </c>
      <c r="BB34" s="827"/>
      <c r="BC34" s="826">
        <v>2</v>
      </c>
      <c r="BD34" s="826">
        <v>0</v>
      </c>
      <c r="BE34" s="826">
        <f t="shared" si="44"/>
        <v>2</v>
      </c>
      <c r="BF34" s="826">
        <v>200</v>
      </c>
      <c r="BG34" s="826">
        <v>0</v>
      </c>
      <c r="BH34" s="826">
        <f t="shared" si="45"/>
        <v>200</v>
      </c>
    </row>
    <row r="35" spans="1:60" ht="61.5" x14ac:dyDescent="0.65">
      <c r="A35" s="840">
        <f t="shared" si="46"/>
        <v>26</v>
      </c>
      <c r="B35" s="839" t="s">
        <v>892</v>
      </c>
      <c r="C35" s="838" t="s">
        <v>1388</v>
      </c>
      <c r="D35" s="838" t="s">
        <v>1094</v>
      </c>
      <c r="E35" s="837" t="s">
        <v>1093</v>
      </c>
      <c r="F35" s="830"/>
      <c r="G35" s="830"/>
      <c r="H35" s="830"/>
      <c r="I35" s="830"/>
      <c r="J35" s="830"/>
      <c r="K35" s="832">
        <f t="shared" si="25"/>
        <v>0</v>
      </c>
      <c r="L35" s="830">
        <v>5769</v>
      </c>
      <c r="M35" s="832">
        <f t="shared" si="26"/>
        <v>5769</v>
      </c>
      <c r="N35" s="831">
        <f t="shared" si="27"/>
        <v>5769</v>
      </c>
      <c r="O35" s="833"/>
      <c r="P35" s="833"/>
      <c r="Q35" s="841">
        <f t="shared" si="28"/>
        <v>0</v>
      </c>
      <c r="R35" s="830"/>
      <c r="S35" s="830"/>
      <c r="T35" s="830">
        <v>3020</v>
      </c>
      <c r="U35" s="832">
        <f t="shared" si="29"/>
        <v>3020</v>
      </c>
      <c r="V35" s="830"/>
      <c r="W35" s="830"/>
      <c r="X35" s="830"/>
      <c r="Y35" s="830"/>
      <c r="Z35" s="832">
        <f t="shared" si="30"/>
        <v>0</v>
      </c>
      <c r="AA35" s="830">
        <v>4730</v>
      </c>
      <c r="AB35" s="830">
        <v>120</v>
      </c>
      <c r="AC35" s="832">
        <f t="shared" si="31"/>
        <v>4850</v>
      </c>
      <c r="AD35" s="830"/>
      <c r="AE35" s="834">
        <v>2350</v>
      </c>
      <c r="AF35" s="832">
        <f t="shared" si="32"/>
        <v>2350</v>
      </c>
      <c r="AG35" s="831">
        <f t="shared" si="33"/>
        <v>10220</v>
      </c>
      <c r="AH35" s="830">
        <v>750</v>
      </c>
      <c r="AI35" s="830"/>
      <c r="AJ35" s="832">
        <f t="shared" si="34"/>
        <v>750</v>
      </c>
      <c r="AK35" s="830"/>
      <c r="AL35" s="830"/>
      <c r="AM35" s="832">
        <f t="shared" si="35"/>
        <v>0</v>
      </c>
      <c r="AN35" s="831">
        <f t="shared" si="36"/>
        <v>750</v>
      </c>
      <c r="AO35" s="833"/>
      <c r="AP35" s="830"/>
      <c r="AQ35" s="830"/>
      <c r="AR35" s="832">
        <f t="shared" si="37"/>
        <v>0</v>
      </c>
      <c r="AS35" s="830"/>
      <c r="AT35" s="832">
        <f t="shared" si="38"/>
        <v>0</v>
      </c>
      <c r="AU35" s="831">
        <f t="shared" si="39"/>
        <v>0</v>
      </c>
      <c r="AV35" s="830">
        <v>750</v>
      </c>
      <c r="AW35" s="831">
        <f t="shared" si="40"/>
        <v>750</v>
      </c>
      <c r="AX35" s="830">
        <f t="shared" si="41"/>
        <v>17489</v>
      </c>
      <c r="AY35" s="829">
        <v>17502.310000000001</v>
      </c>
      <c r="AZ35" s="827" t="b">
        <f t="shared" si="42"/>
        <v>0</v>
      </c>
      <c r="BA35" s="828">
        <f t="shared" si="43"/>
        <v>2.8814267914697312E-2</v>
      </c>
      <c r="BB35" s="827"/>
      <c r="BC35" s="826">
        <v>11</v>
      </c>
      <c r="BD35" s="826">
        <v>0</v>
      </c>
      <c r="BE35" s="826">
        <f t="shared" si="44"/>
        <v>11</v>
      </c>
      <c r="BF35" s="826">
        <v>395</v>
      </c>
      <c r="BG35" s="826">
        <v>0</v>
      </c>
      <c r="BH35" s="826">
        <f t="shared" si="45"/>
        <v>395</v>
      </c>
    </row>
    <row r="36" spans="1:60" ht="61.5" x14ac:dyDescent="0.65">
      <c r="A36" s="840">
        <f t="shared" si="46"/>
        <v>27</v>
      </c>
      <c r="B36" s="847" t="s">
        <v>892</v>
      </c>
      <c r="C36" s="847" t="s">
        <v>1388</v>
      </c>
      <c r="D36" s="847" t="s">
        <v>1092</v>
      </c>
      <c r="E36" s="837" t="s">
        <v>1091</v>
      </c>
      <c r="F36" s="830">
        <v>4029.48</v>
      </c>
      <c r="G36" s="830"/>
      <c r="H36" s="830"/>
      <c r="I36" s="830"/>
      <c r="J36" s="830"/>
      <c r="K36" s="832">
        <f t="shared" si="25"/>
        <v>4029.48</v>
      </c>
      <c r="L36" s="830">
        <v>9158.4</v>
      </c>
      <c r="M36" s="832">
        <f t="shared" si="26"/>
        <v>9158.4</v>
      </c>
      <c r="N36" s="831">
        <f t="shared" si="27"/>
        <v>13187.88</v>
      </c>
      <c r="O36" s="833">
        <v>2000</v>
      </c>
      <c r="P36" s="833"/>
      <c r="Q36" s="841">
        <f t="shared" si="28"/>
        <v>2000</v>
      </c>
      <c r="R36" s="830"/>
      <c r="S36" s="830"/>
      <c r="T36" s="830"/>
      <c r="U36" s="832">
        <f t="shared" si="29"/>
        <v>0</v>
      </c>
      <c r="V36" s="830"/>
      <c r="W36" s="830"/>
      <c r="X36" s="830"/>
      <c r="Y36" s="830"/>
      <c r="Z36" s="832">
        <f t="shared" si="30"/>
        <v>0</v>
      </c>
      <c r="AA36" s="830">
        <v>3637.5</v>
      </c>
      <c r="AB36" s="830">
        <v>30</v>
      </c>
      <c r="AC36" s="832">
        <f t="shared" si="31"/>
        <v>3667.5</v>
      </c>
      <c r="AD36" s="830"/>
      <c r="AE36" s="834">
        <v>3877.5</v>
      </c>
      <c r="AF36" s="832">
        <f t="shared" si="32"/>
        <v>3877.5</v>
      </c>
      <c r="AG36" s="831">
        <f t="shared" si="33"/>
        <v>7545</v>
      </c>
      <c r="AH36" s="830">
        <v>750</v>
      </c>
      <c r="AI36" s="830"/>
      <c r="AJ36" s="832">
        <f t="shared" si="34"/>
        <v>750</v>
      </c>
      <c r="AK36" s="830"/>
      <c r="AL36" s="830"/>
      <c r="AM36" s="832">
        <f t="shared" si="35"/>
        <v>0</v>
      </c>
      <c r="AN36" s="831">
        <f t="shared" si="36"/>
        <v>750</v>
      </c>
      <c r="AO36" s="833"/>
      <c r="AP36" s="830"/>
      <c r="AQ36" s="830"/>
      <c r="AR36" s="832">
        <f t="shared" si="37"/>
        <v>0</v>
      </c>
      <c r="AS36" s="830"/>
      <c r="AT36" s="832">
        <f t="shared" si="38"/>
        <v>0</v>
      </c>
      <c r="AU36" s="831">
        <f t="shared" si="39"/>
        <v>0</v>
      </c>
      <c r="AV36" s="830">
        <v>750</v>
      </c>
      <c r="AW36" s="831">
        <f t="shared" si="40"/>
        <v>750</v>
      </c>
      <c r="AX36" s="830">
        <f t="shared" si="41"/>
        <v>24232.879999999997</v>
      </c>
      <c r="AY36" s="829">
        <v>24237.83</v>
      </c>
      <c r="AZ36" s="827" t="b">
        <f t="shared" si="42"/>
        <v>0</v>
      </c>
      <c r="BA36" s="828">
        <f t="shared" si="43"/>
        <v>3.9925249966533828E-2</v>
      </c>
      <c r="BB36" s="827"/>
      <c r="BC36" s="826">
        <v>5</v>
      </c>
      <c r="BD36" s="826">
        <v>0</v>
      </c>
      <c r="BE36" s="826">
        <f t="shared" si="44"/>
        <v>5</v>
      </c>
      <c r="BF36" s="826">
        <v>300</v>
      </c>
      <c r="BG36" s="826">
        <v>0</v>
      </c>
      <c r="BH36" s="826">
        <f t="shared" si="45"/>
        <v>300</v>
      </c>
    </row>
    <row r="37" spans="1:60" s="806" customFormat="1" ht="36" customHeight="1" x14ac:dyDescent="0.45">
      <c r="A37" s="1440" t="s">
        <v>1387</v>
      </c>
      <c r="B37" s="1440"/>
      <c r="C37" s="1440"/>
      <c r="D37" s="1440"/>
      <c r="E37" s="1440"/>
      <c r="F37" s="819">
        <f t="shared" ref="F37:M37" si="47">SUM(F26:F36)</f>
        <v>63664.750000000007</v>
      </c>
      <c r="G37" s="819">
        <f t="shared" si="47"/>
        <v>4377.34</v>
      </c>
      <c r="H37" s="819">
        <f t="shared" si="47"/>
        <v>0</v>
      </c>
      <c r="I37" s="819">
        <f t="shared" si="47"/>
        <v>0</v>
      </c>
      <c r="J37" s="819">
        <f t="shared" si="47"/>
        <v>3745</v>
      </c>
      <c r="K37" s="821">
        <f t="shared" si="47"/>
        <v>71787.09</v>
      </c>
      <c r="L37" s="819">
        <f t="shared" si="47"/>
        <v>38475.56</v>
      </c>
      <c r="M37" s="821">
        <f t="shared" si="47"/>
        <v>38475.56</v>
      </c>
      <c r="N37" s="820">
        <f t="shared" si="27"/>
        <v>110262.65</v>
      </c>
      <c r="O37" s="822">
        <f>SUM(O26:O36)</f>
        <v>16000</v>
      </c>
      <c r="P37" s="822">
        <f>SUM(P26:P36)</f>
        <v>0</v>
      </c>
      <c r="Q37" s="824">
        <f t="shared" si="28"/>
        <v>16000</v>
      </c>
      <c r="R37" s="819">
        <f t="shared" ref="R37:AI37" si="48">SUM(R26:R36)</f>
        <v>4800</v>
      </c>
      <c r="S37" s="819">
        <f t="shared" si="48"/>
        <v>0</v>
      </c>
      <c r="T37" s="819">
        <f t="shared" si="48"/>
        <v>3020</v>
      </c>
      <c r="U37" s="821">
        <f t="shared" si="48"/>
        <v>7820</v>
      </c>
      <c r="V37" s="819">
        <f t="shared" si="48"/>
        <v>1270.8599999999999</v>
      </c>
      <c r="W37" s="819">
        <f t="shared" si="48"/>
        <v>7882.51</v>
      </c>
      <c r="X37" s="819">
        <f t="shared" si="48"/>
        <v>0</v>
      </c>
      <c r="Y37" s="819">
        <f t="shared" si="48"/>
        <v>0</v>
      </c>
      <c r="Z37" s="821">
        <f t="shared" si="48"/>
        <v>9153.3700000000008</v>
      </c>
      <c r="AA37" s="819">
        <f t="shared" si="48"/>
        <v>45763.199999999997</v>
      </c>
      <c r="AB37" s="819">
        <f t="shared" si="48"/>
        <v>660</v>
      </c>
      <c r="AC37" s="821">
        <f t="shared" si="48"/>
        <v>46423.199999999997</v>
      </c>
      <c r="AD37" s="819">
        <f t="shared" si="48"/>
        <v>0</v>
      </c>
      <c r="AE37" s="823">
        <f t="shared" si="48"/>
        <v>12083.5</v>
      </c>
      <c r="AF37" s="821">
        <f t="shared" si="48"/>
        <v>12083.5</v>
      </c>
      <c r="AG37" s="820">
        <f t="shared" si="48"/>
        <v>75480.070000000007</v>
      </c>
      <c r="AH37" s="819">
        <f t="shared" si="48"/>
        <v>8250</v>
      </c>
      <c r="AI37" s="819">
        <f t="shared" si="48"/>
        <v>0</v>
      </c>
      <c r="AJ37" s="821">
        <f t="shared" si="34"/>
        <v>8250</v>
      </c>
      <c r="AK37" s="819">
        <f t="shared" ref="AK37:BA37" si="49">SUM(AK26:AK36)</f>
        <v>0</v>
      </c>
      <c r="AL37" s="819">
        <f t="shared" si="49"/>
        <v>0</v>
      </c>
      <c r="AM37" s="821">
        <f t="shared" si="49"/>
        <v>0</v>
      </c>
      <c r="AN37" s="820">
        <f t="shared" si="49"/>
        <v>8250</v>
      </c>
      <c r="AO37" s="822">
        <f t="shared" si="49"/>
        <v>0</v>
      </c>
      <c r="AP37" s="819">
        <f t="shared" si="49"/>
        <v>0</v>
      </c>
      <c r="AQ37" s="819">
        <f t="shared" si="49"/>
        <v>0</v>
      </c>
      <c r="AR37" s="821">
        <f t="shared" si="49"/>
        <v>0</v>
      </c>
      <c r="AS37" s="819">
        <f t="shared" si="49"/>
        <v>0</v>
      </c>
      <c r="AT37" s="821">
        <f t="shared" si="49"/>
        <v>0</v>
      </c>
      <c r="AU37" s="820">
        <f t="shared" si="49"/>
        <v>0</v>
      </c>
      <c r="AV37" s="819">
        <f t="shared" si="49"/>
        <v>7500</v>
      </c>
      <c r="AW37" s="820">
        <f t="shared" si="49"/>
        <v>7500</v>
      </c>
      <c r="AX37" s="819">
        <f t="shared" si="49"/>
        <v>217492.72000000003</v>
      </c>
      <c r="AY37" s="818">
        <f t="shared" si="49"/>
        <v>217834.41000000003</v>
      </c>
      <c r="AZ37" s="807">
        <f t="shared" si="49"/>
        <v>0</v>
      </c>
      <c r="BA37" s="817">
        <f t="shared" si="49"/>
        <v>0.35833343836561538</v>
      </c>
      <c r="BB37" s="807"/>
      <c r="BC37" s="816">
        <f t="shared" ref="BC37:BH37" si="50">SUM(BC26:BC36)</f>
        <v>51</v>
      </c>
      <c r="BD37" s="816">
        <f t="shared" si="50"/>
        <v>0</v>
      </c>
      <c r="BE37" s="816">
        <f t="shared" si="50"/>
        <v>51</v>
      </c>
      <c r="BF37" s="816">
        <f t="shared" si="50"/>
        <v>2723</v>
      </c>
      <c r="BG37" s="816">
        <f t="shared" si="50"/>
        <v>134</v>
      </c>
      <c r="BH37" s="816">
        <f t="shared" si="50"/>
        <v>2857</v>
      </c>
    </row>
    <row r="38" spans="1:60" s="806" customFormat="1" ht="36" customHeight="1" x14ac:dyDescent="0.45">
      <c r="A38" s="1440"/>
      <c r="B38" s="1440"/>
      <c r="C38" s="1440"/>
      <c r="D38" s="1440"/>
      <c r="E38" s="1440"/>
      <c r="F38" s="808">
        <f t="shared" ref="F38:BA38" si="51">F37/$AX$37</f>
        <v>0.29272129200462432</v>
      </c>
      <c r="G38" s="808">
        <f t="shared" si="51"/>
        <v>2.0126374804637137E-2</v>
      </c>
      <c r="H38" s="808">
        <f t="shared" si="51"/>
        <v>0</v>
      </c>
      <c r="I38" s="808">
        <f t="shared" si="51"/>
        <v>0</v>
      </c>
      <c r="J38" s="808">
        <f t="shared" si="51"/>
        <v>1.7218967145199156E-2</v>
      </c>
      <c r="K38" s="812">
        <f t="shared" si="51"/>
        <v>0.33006663395446056</v>
      </c>
      <c r="L38" s="808">
        <f t="shared" si="51"/>
        <v>0.17690504767240023</v>
      </c>
      <c r="M38" s="812">
        <f t="shared" si="51"/>
        <v>0.17690504767240023</v>
      </c>
      <c r="N38" s="811">
        <f t="shared" si="51"/>
        <v>0.50697168162686079</v>
      </c>
      <c r="O38" s="813">
        <f t="shared" si="51"/>
        <v>7.356568072715261E-2</v>
      </c>
      <c r="P38" s="813">
        <f t="shared" si="51"/>
        <v>0</v>
      </c>
      <c r="Q38" s="815">
        <f t="shared" si="51"/>
        <v>7.356568072715261E-2</v>
      </c>
      <c r="R38" s="808">
        <f t="shared" si="51"/>
        <v>2.2069704218145782E-2</v>
      </c>
      <c r="S38" s="808">
        <f t="shared" si="51"/>
        <v>0</v>
      </c>
      <c r="T38" s="808">
        <f t="shared" si="51"/>
        <v>1.3885522237250054E-2</v>
      </c>
      <c r="U38" s="812">
        <f t="shared" si="51"/>
        <v>3.5955226455395832E-2</v>
      </c>
      <c r="V38" s="808">
        <f t="shared" si="51"/>
        <v>5.8432300630568224E-3</v>
      </c>
      <c r="W38" s="808">
        <f t="shared" si="51"/>
        <v>3.6242638374286727E-2</v>
      </c>
      <c r="X38" s="808">
        <f t="shared" si="51"/>
        <v>0</v>
      </c>
      <c r="Y38" s="808">
        <f t="shared" si="51"/>
        <v>0</v>
      </c>
      <c r="Z38" s="812">
        <f t="shared" si="51"/>
        <v>4.2085868437343556E-2</v>
      </c>
      <c r="AA38" s="808">
        <f t="shared" si="51"/>
        <v>0.21041256001580186</v>
      </c>
      <c r="AB38" s="808">
        <f t="shared" si="51"/>
        <v>3.0345843299950451E-3</v>
      </c>
      <c r="AC38" s="812">
        <f t="shared" si="51"/>
        <v>0.21344714434579692</v>
      </c>
      <c r="AD38" s="808">
        <f t="shared" si="51"/>
        <v>0</v>
      </c>
      <c r="AE38" s="814">
        <f t="shared" si="51"/>
        <v>5.5558181441659284E-2</v>
      </c>
      <c r="AF38" s="812">
        <f t="shared" si="51"/>
        <v>5.5558181441659284E-2</v>
      </c>
      <c r="AG38" s="811">
        <f t="shared" si="51"/>
        <v>0.34704642068019564</v>
      </c>
      <c r="AH38" s="808">
        <f t="shared" si="51"/>
        <v>3.793230412493806E-2</v>
      </c>
      <c r="AI38" s="808">
        <f t="shared" si="51"/>
        <v>0</v>
      </c>
      <c r="AJ38" s="812">
        <f t="shared" si="51"/>
        <v>3.793230412493806E-2</v>
      </c>
      <c r="AK38" s="808">
        <f t="shared" si="51"/>
        <v>0</v>
      </c>
      <c r="AL38" s="808">
        <f t="shared" si="51"/>
        <v>0</v>
      </c>
      <c r="AM38" s="812">
        <f t="shared" si="51"/>
        <v>0</v>
      </c>
      <c r="AN38" s="811">
        <f t="shared" si="51"/>
        <v>3.793230412493806E-2</v>
      </c>
      <c r="AO38" s="813">
        <f t="shared" si="51"/>
        <v>0</v>
      </c>
      <c r="AP38" s="808">
        <f t="shared" si="51"/>
        <v>0</v>
      </c>
      <c r="AQ38" s="808">
        <f t="shared" si="51"/>
        <v>0</v>
      </c>
      <c r="AR38" s="812">
        <f t="shared" si="51"/>
        <v>0</v>
      </c>
      <c r="AS38" s="808">
        <f t="shared" si="51"/>
        <v>0</v>
      </c>
      <c r="AT38" s="812">
        <f t="shared" si="51"/>
        <v>0</v>
      </c>
      <c r="AU38" s="811">
        <f t="shared" si="51"/>
        <v>0</v>
      </c>
      <c r="AV38" s="808">
        <f t="shared" si="51"/>
        <v>3.4483912840852782E-2</v>
      </c>
      <c r="AW38" s="811">
        <f t="shared" si="51"/>
        <v>3.4483912840852782E-2</v>
      </c>
      <c r="AX38" s="808">
        <f t="shared" si="51"/>
        <v>1</v>
      </c>
      <c r="AY38" s="810">
        <f t="shared" si="51"/>
        <v>1.0015710410904788</v>
      </c>
      <c r="AZ38" s="809">
        <f t="shared" si="51"/>
        <v>0</v>
      </c>
      <c r="BA38" s="808">
        <f t="shared" si="51"/>
        <v>1.6475652075417299E-6</v>
      </c>
      <c r="BB38" s="807"/>
      <c r="BC38" s="816"/>
      <c r="BD38" s="816">
        <f>BD37/BC37</f>
        <v>0</v>
      </c>
      <c r="BE38" s="816"/>
      <c r="BF38" s="816"/>
      <c r="BG38" s="816">
        <f>BG37/BF37</f>
        <v>4.9210429673154608E-2</v>
      </c>
      <c r="BH38" s="816"/>
    </row>
    <row r="39" spans="1:60" ht="82" x14ac:dyDescent="0.65">
      <c r="A39" s="840">
        <v>28</v>
      </c>
      <c r="B39" s="839" t="s">
        <v>891</v>
      </c>
      <c r="C39" s="838" t="s">
        <v>1386</v>
      </c>
      <c r="D39" s="838" t="s">
        <v>1127</v>
      </c>
      <c r="E39" s="837" t="s">
        <v>1126</v>
      </c>
      <c r="F39" s="833">
        <v>6635</v>
      </c>
      <c r="G39" s="830"/>
      <c r="H39" s="830"/>
      <c r="I39" s="830"/>
      <c r="J39" s="830"/>
      <c r="K39" s="832">
        <f t="shared" ref="K39:K45" si="52">SUM(F39:J39)</f>
        <v>6635</v>
      </c>
      <c r="L39" s="830"/>
      <c r="M39" s="832">
        <f t="shared" ref="M39:M45" si="53">SUM(L39)</f>
        <v>0</v>
      </c>
      <c r="N39" s="831">
        <f t="shared" ref="N39:N45" si="54">SUM(K39+M39)</f>
        <v>6635</v>
      </c>
      <c r="O39" s="833"/>
      <c r="P39" s="833">
        <v>2500</v>
      </c>
      <c r="Q39" s="841">
        <f t="shared" ref="Q39:Q45" si="55">SUM(O39:P39)</f>
        <v>2500</v>
      </c>
      <c r="R39" s="830"/>
      <c r="S39" s="830"/>
      <c r="T39" s="830"/>
      <c r="U39" s="832">
        <f t="shared" ref="U39:U45" si="56">SUM(R39:T39)</f>
        <v>0</v>
      </c>
      <c r="V39" s="830"/>
      <c r="W39" s="830"/>
      <c r="X39" s="830"/>
      <c r="Y39" s="830"/>
      <c r="Z39" s="832">
        <f t="shared" ref="Z39:Z45" si="57">SUM(V39:Y39)</f>
        <v>0</v>
      </c>
      <c r="AA39" s="830"/>
      <c r="AB39" s="830"/>
      <c r="AC39" s="832">
        <f t="shared" ref="AC39:AC45" si="58">SUM(AA39:AB39)</f>
        <v>0</v>
      </c>
      <c r="AD39" s="830"/>
      <c r="AE39" s="830"/>
      <c r="AF39" s="832">
        <f t="shared" ref="AF39:AF45" si="59">SUM(AD39:AE39)</f>
        <v>0</v>
      </c>
      <c r="AG39" s="831">
        <f t="shared" ref="AG39:AG45" si="60">SUM(U39+Z39+AC39+AF39)</f>
        <v>0</v>
      </c>
      <c r="AH39" s="833">
        <v>750</v>
      </c>
      <c r="AI39" s="830"/>
      <c r="AJ39" s="832">
        <f t="shared" ref="AJ39:AJ45" si="61">SUM(AH39:AI39)</f>
        <v>750</v>
      </c>
      <c r="AK39" s="830"/>
      <c r="AL39" s="830"/>
      <c r="AM39" s="832">
        <f t="shared" ref="AM39:AM45" si="62">SUM(AK39:AL39)</f>
        <v>0</v>
      </c>
      <c r="AN39" s="831">
        <f t="shared" ref="AN39:AN45" si="63">SUM(AJ39+AM39)</f>
        <v>750</v>
      </c>
      <c r="AO39" s="833"/>
      <c r="AP39" s="830">
        <v>9150.0400000000009</v>
      </c>
      <c r="AQ39" s="830"/>
      <c r="AR39" s="832">
        <f t="shared" ref="AR39:AR45" si="64">SUM(AO39:AQ39)</f>
        <v>9150.0400000000009</v>
      </c>
      <c r="AS39" s="830"/>
      <c r="AT39" s="832">
        <f t="shared" ref="AT39:AT45" si="65">SUM(AS39)</f>
        <v>0</v>
      </c>
      <c r="AU39" s="831">
        <f t="shared" ref="AU39:AU45" si="66">AR39+AT39</f>
        <v>9150.0400000000009</v>
      </c>
      <c r="AV39" s="830">
        <v>750</v>
      </c>
      <c r="AW39" s="831">
        <f t="shared" ref="AW39:AW45" si="67">SUM(AV39)</f>
        <v>750</v>
      </c>
      <c r="AX39" s="830">
        <f t="shared" ref="AX39:AX45" si="68">SUM(AN39+AW39+AG39+Q39+AU39+N39)</f>
        <v>19785.04</v>
      </c>
      <c r="AY39" s="829">
        <v>19785.04</v>
      </c>
      <c r="AZ39" s="827" t="b">
        <f t="shared" ref="AZ39:AZ45" si="69">AY39=AX39</f>
        <v>1</v>
      </c>
      <c r="BA39" s="828">
        <f t="shared" ref="BA39:BA45" si="70">AX39/$AX$49</f>
        <v>3.2597143533821427E-2</v>
      </c>
      <c r="BB39" s="827"/>
      <c r="BC39" s="826">
        <v>6</v>
      </c>
      <c r="BD39" s="826">
        <v>0</v>
      </c>
      <c r="BE39" s="826">
        <f t="shared" ref="BE39:BE45" si="71">BC39+BD39</f>
        <v>6</v>
      </c>
      <c r="BF39" s="826">
        <v>231</v>
      </c>
      <c r="BG39" s="826">
        <v>26</v>
      </c>
      <c r="BH39" s="825">
        <f t="shared" ref="BH39:BH45" si="72">BG39+BF39</f>
        <v>257</v>
      </c>
    </row>
    <row r="40" spans="1:60" ht="61.5" x14ac:dyDescent="0.65">
      <c r="A40" s="840">
        <f t="shared" ref="A40:A45" si="73">+A39+1</f>
        <v>29</v>
      </c>
      <c r="B40" s="839" t="s">
        <v>891</v>
      </c>
      <c r="C40" s="838" t="s">
        <v>1386</v>
      </c>
      <c r="D40" s="838" t="s">
        <v>1125</v>
      </c>
      <c r="E40" s="837" t="s">
        <v>1124</v>
      </c>
      <c r="F40" s="830">
        <v>24948.6</v>
      </c>
      <c r="G40" s="830"/>
      <c r="H40" s="830"/>
      <c r="I40" s="830"/>
      <c r="J40" s="830"/>
      <c r="K40" s="832">
        <f t="shared" si="52"/>
        <v>24948.6</v>
      </c>
      <c r="L40" s="830"/>
      <c r="M40" s="832">
        <f t="shared" si="53"/>
        <v>0</v>
      </c>
      <c r="N40" s="831">
        <f t="shared" si="54"/>
        <v>24948.6</v>
      </c>
      <c r="O40" s="833">
        <v>2000</v>
      </c>
      <c r="P40" s="833"/>
      <c r="Q40" s="841">
        <f t="shared" si="55"/>
        <v>2000</v>
      </c>
      <c r="R40" s="830"/>
      <c r="S40" s="830"/>
      <c r="T40" s="830"/>
      <c r="U40" s="832">
        <f t="shared" si="56"/>
        <v>0</v>
      </c>
      <c r="V40" s="830"/>
      <c r="W40" s="830"/>
      <c r="X40" s="830"/>
      <c r="Y40" s="830"/>
      <c r="Z40" s="832">
        <f t="shared" si="57"/>
        <v>0</v>
      </c>
      <c r="AA40" s="830"/>
      <c r="AB40" s="830"/>
      <c r="AC40" s="832">
        <f t="shared" si="58"/>
        <v>0</v>
      </c>
      <c r="AD40" s="830"/>
      <c r="AE40" s="830"/>
      <c r="AF40" s="832">
        <f t="shared" si="59"/>
        <v>0</v>
      </c>
      <c r="AG40" s="831">
        <f t="shared" si="60"/>
        <v>0</v>
      </c>
      <c r="AH40" s="830">
        <v>750</v>
      </c>
      <c r="AI40" s="830"/>
      <c r="AJ40" s="832">
        <f t="shared" si="61"/>
        <v>750</v>
      </c>
      <c r="AK40" s="830"/>
      <c r="AL40" s="830"/>
      <c r="AM40" s="832">
        <f t="shared" si="62"/>
        <v>0</v>
      </c>
      <c r="AN40" s="831">
        <f t="shared" si="63"/>
        <v>750</v>
      </c>
      <c r="AO40" s="830"/>
      <c r="AP40" s="830"/>
      <c r="AQ40" s="830"/>
      <c r="AR40" s="832">
        <f t="shared" si="64"/>
        <v>0</v>
      </c>
      <c r="AS40" s="830"/>
      <c r="AT40" s="832">
        <f t="shared" si="65"/>
        <v>0</v>
      </c>
      <c r="AU40" s="831">
        <f t="shared" si="66"/>
        <v>0</v>
      </c>
      <c r="AV40" s="830"/>
      <c r="AW40" s="831">
        <f t="shared" si="67"/>
        <v>0</v>
      </c>
      <c r="AX40" s="830">
        <f t="shared" si="68"/>
        <v>27698.6</v>
      </c>
      <c r="AY40" s="829">
        <v>27698.74</v>
      </c>
      <c r="AZ40" s="827" t="b">
        <f t="shared" si="69"/>
        <v>0</v>
      </c>
      <c r="BA40" s="828">
        <f t="shared" si="70"/>
        <v>4.5635249657615354E-2</v>
      </c>
      <c r="BB40" s="827"/>
      <c r="BC40" s="846">
        <v>6</v>
      </c>
      <c r="BD40" s="826">
        <v>5</v>
      </c>
      <c r="BE40" s="826">
        <f t="shared" si="71"/>
        <v>11</v>
      </c>
      <c r="BF40" s="846">
        <v>330</v>
      </c>
      <c r="BG40" s="826">
        <v>75</v>
      </c>
      <c r="BH40" s="825">
        <f t="shared" si="72"/>
        <v>405</v>
      </c>
    </row>
    <row r="41" spans="1:60" ht="82" x14ac:dyDescent="0.65">
      <c r="A41" s="840">
        <f t="shared" si="73"/>
        <v>30</v>
      </c>
      <c r="B41" s="839" t="s">
        <v>891</v>
      </c>
      <c r="C41" s="838" t="s">
        <v>1385</v>
      </c>
      <c r="D41" s="838" t="s">
        <v>1123</v>
      </c>
      <c r="E41" s="837" t="s">
        <v>1122</v>
      </c>
      <c r="F41" s="830"/>
      <c r="G41" s="830"/>
      <c r="H41" s="830"/>
      <c r="I41" s="830"/>
      <c r="J41" s="830"/>
      <c r="K41" s="832">
        <f t="shared" si="52"/>
        <v>0</v>
      </c>
      <c r="L41" s="833">
        <v>1000</v>
      </c>
      <c r="M41" s="832">
        <f t="shared" si="53"/>
        <v>1000</v>
      </c>
      <c r="N41" s="831">
        <f t="shared" si="54"/>
        <v>1000</v>
      </c>
      <c r="O41" s="833"/>
      <c r="P41" s="833"/>
      <c r="Q41" s="841">
        <f t="shared" si="55"/>
        <v>0</v>
      </c>
      <c r="R41" s="830"/>
      <c r="S41" s="830"/>
      <c r="T41" s="830"/>
      <c r="U41" s="832">
        <f t="shared" si="56"/>
        <v>0</v>
      </c>
      <c r="V41" s="830"/>
      <c r="W41" s="830"/>
      <c r="X41" s="830"/>
      <c r="Y41" s="830"/>
      <c r="Z41" s="832">
        <f t="shared" si="57"/>
        <v>0</v>
      </c>
      <c r="AA41" s="830"/>
      <c r="AB41" s="830"/>
      <c r="AC41" s="832">
        <f t="shared" si="58"/>
        <v>0</v>
      </c>
      <c r="AD41" s="830"/>
      <c r="AE41" s="830"/>
      <c r="AF41" s="832">
        <f t="shared" si="59"/>
        <v>0</v>
      </c>
      <c r="AG41" s="831">
        <f t="shared" si="60"/>
        <v>0</v>
      </c>
      <c r="AH41" s="830">
        <v>750</v>
      </c>
      <c r="AI41" s="830"/>
      <c r="AJ41" s="832">
        <f t="shared" si="61"/>
        <v>750</v>
      </c>
      <c r="AK41" s="830"/>
      <c r="AL41" s="830"/>
      <c r="AM41" s="832">
        <f t="shared" si="62"/>
        <v>0</v>
      </c>
      <c r="AN41" s="831">
        <f t="shared" si="63"/>
        <v>750</v>
      </c>
      <c r="AO41" s="830"/>
      <c r="AP41" s="833">
        <v>11781</v>
      </c>
      <c r="AQ41" s="830"/>
      <c r="AR41" s="832">
        <f t="shared" si="64"/>
        <v>11781</v>
      </c>
      <c r="AS41" s="830"/>
      <c r="AT41" s="832">
        <f t="shared" si="65"/>
        <v>0</v>
      </c>
      <c r="AU41" s="831">
        <f t="shared" si="66"/>
        <v>11781</v>
      </c>
      <c r="AV41" s="830">
        <v>750</v>
      </c>
      <c r="AW41" s="831">
        <f t="shared" si="67"/>
        <v>750</v>
      </c>
      <c r="AX41" s="830">
        <f t="shared" si="68"/>
        <v>14281</v>
      </c>
      <c r="AY41" s="829">
        <v>14286.02</v>
      </c>
      <c r="AZ41" s="827" t="b">
        <f t="shared" si="69"/>
        <v>0</v>
      </c>
      <c r="BA41" s="828">
        <f t="shared" si="70"/>
        <v>2.3528878728903441E-2</v>
      </c>
      <c r="BB41" s="827"/>
      <c r="BC41" s="826">
        <v>8</v>
      </c>
      <c r="BD41" s="846">
        <v>24</v>
      </c>
      <c r="BE41" s="826">
        <f t="shared" si="71"/>
        <v>32</v>
      </c>
      <c r="BF41" s="826">
        <v>355</v>
      </c>
      <c r="BG41" s="826">
        <v>595</v>
      </c>
      <c r="BH41" s="825">
        <f t="shared" si="72"/>
        <v>950</v>
      </c>
    </row>
    <row r="42" spans="1:60" ht="67.5" x14ac:dyDescent="0.65">
      <c r="A42" s="840">
        <f t="shared" si="73"/>
        <v>31</v>
      </c>
      <c r="B42" s="839" t="s">
        <v>891</v>
      </c>
      <c r="C42" s="845" t="s">
        <v>1384</v>
      </c>
      <c r="D42" s="838" t="s">
        <v>1121</v>
      </c>
      <c r="E42" s="837" t="s">
        <v>1120</v>
      </c>
      <c r="F42" s="830"/>
      <c r="G42" s="830"/>
      <c r="H42" s="833"/>
      <c r="I42" s="830"/>
      <c r="J42" s="830"/>
      <c r="K42" s="832">
        <f t="shared" si="52"/>
        <v>0</v>
      </c>
      <c r="L42" s="830"/>
      <c r="M42" s="832">
        <f t="shared" si="53"/>
        <v>0</v>
      </c>
      <c r="N42" s="831">
        <f t="shared" si="54"/>
        <v>0</v>
      </c>
      <c r="O42" s="844"/>
      <c r="P42" s="843">
        <v>3000</v>
      </c>
      <c r="Q42" s="841">
        <f t="shared" si="55"/>
        <v>3000</v>
      </c>
      <c r="R42" s="830"/>
      <c r="S42" s="830"/>
      <c r="T42" s="830"/>
      <c r="U42" s="832">
        <f t="shared" si="56"/>
        <v>0</v>
      </c>
      <c r="V42" s="830"/>
      <c r="W42" s="830"/>
      <c r="X42" s="830"/>
      <c r="Y42" s="830"/>
      <c r="Z42" s="832">
        <f t="shared" si="57"/>
        <v>0</v>
      </c>
      <c r="AA42" s="830"/>
      <c r="AB42" s="830"/>
      <c r="AC42" s="832">
        <f t="shared" si="58"/>
        <v>0</v>
      </c>
      <c r="AD42" s="830"/>
      <c r="AE42" s="830"/>
      <c r="AF42" s="832">
        <f t="shared" si="59"/>
        <v>0</v>
      </c>
      <c r="AG42" s="831">
        <f t="shared" si="60"/>
        <v>0</v>
      </c>
      <c r="AH42" s="830">
        <v>750</v>
      </c>
      <c r="AI42" s="830"/>
      <c r="AJ42" s="832">
        <f t="shared" si="61"/>
        <v>750</v>
      </c>
      <c r="AK42" s="830"/>
      <c r="AL42" s="830"/>
      <c r="AM42" s="832">
        <f t="shared" si="62"/>
        <v>0</v>
      </c>
      <c r="AN42" s="831">
        <f t="shared" si="63"/>
        <v>750</v>
      </c>
      <c r="AO42" s="830"/>
      <c r="AP42" s="830"/>
      <c r="AQ42" s="833">
        <v>14406</v>
      </c>
      <c r="AR42" s="832">
        <f t="shared" si="64"/>
        <v>14406</v>
      </c>
      <c r="AS42" s="830"/>
      <c r="AT42" s="832">
        <f t="shared" si="65"/>
        <v>0</v>
      </c>
      <c r="AU42" s="831">
        <f t="shared" si="66"/>
        <v>14406</v>
      </c>
      <c r="AV42" s="830"/>
      <c r="AW42" s="831">
        <f t="shared" si="67"/>
        <v>0</v>
      </c>
      <c r="AX42" s="830">
        <f t="shared" si="68"/>
        <v>18156</v>
      </c>
      <c r="AY42" s="829">
        <v>18224.78</v>
      </c>
      <c r="AZ42" s="827" t="b">
        <f t="shared" si="69"/>
        <v>0</v>
      </c>
      <c r="BA42" s="828">
        <f t="shared" si="70"/>
        <v>2.9913193908127644E-2</v>
      </c>
      <c r="BB42" s="827"/>
      <c r="BC42" s="826">
        <v>3</v>
      </c>
      <c r="BD42" s="826">
        <v>19</v>
      </c>
      <c r="BE42" s="826">
        <f t="shared" si="71"/>
        <v>22</v>
      </c>
      <c r="BF42" s="826">
        <v>285</v>
      </c>
      <c r="BG42" s="826">
        <v>1575</v>
      </c>
      <c r="BH42" s="825">
        <f t="shared" si="72"/>
        <v>1860</v>
      </c>
    </row>
    <row r="43" spans="1:60" ht="82" x14ac:dyDescent="0.65">
      <c r="A43" s="840">
        <f t="shared" si="73"/>
        <v>32</v>
      </c>
      <c r="B43" s="839" t="s">
        <v>891</v>
      </c>
      <c r="C43" s="838" t="s">
        <v>1384</v>
      </c>
      <c r="D43" s="838" t="s">
        <v>1119</v>
      </c>
      <c r="E43" s="837" t="s">
        <v>1118</v>
      </c>
      <c r="F43" s="830">
        <v>240</v>
      </c>
      <c r="G43" s="833"/>
      <c r="H43" s="830"/>
      <c r="I43" s="830"/>
      <c r="J43" s="830"/>
      <c r="K43" s="832">
        <f t="shared" si="52"/>
        <v>240</v>
      </c>
      <c r="L43" s="830"/>
      <c r="M43" s="832">
        <f t="shared" si="53"/>
        <v>0</v>
      </c>
      <c r="N43" s="831">
        <f t="shared" si="54"/>
        <v>240</v>
      </c>
      <c r="O43" s="833"/>
      <c r="P43" s="833">
        <v>2500</v>
      </c>
      <c r="Q43" s="841">
        <f t="shared" si="55"/>
        <v>2500</v>
      </c>
      <c r="R43" s="830"/>
      <c r="S43" s="830"/>
      <c r="T43" s="830"/>
      <c r="U43" s="832">
        <f t="shared" si="56"/>
        <v>0</v>
      </c>
      <c r="V43" s="833"/>
      <c r="W43" s="830"/>
      <c r="X43" s="830"/>
      <c r="Y43" s="830"/>
      <c r="Z43" s="832">
        <f t="shared" si="57"/>
        <v>0</v>
      </c>
      <c r="AA43" s="830"/>
      <c r="AB43" s="830"/>
      <c r="AC43" s="832">
        <f t="shared" si="58"/>
        <v>0</v>
      </c>
      <c r="AD43" s="830"/>
      <c r="AE43" s="830"/>
      <c r="AF43" s="832">
        <f t="shared" si="59"/>
        <v>0</v>
      </c>
      <c r="AG43" s="831">
        <f t="shared" si="60"/>
        <v>0</v>
      </c>
      <c r="AH43" s="830">
        <v>750</v>
      </c>
      <c r="AI43" s="830"/>
      <c r="AJ43" s="832">
        <f t="shared" si="61"/>
        <v>750</v>
      </c>
      <c r="AK43" s="830"/>
      <c r="AL43" s="830"/>
      <c r="AM43" s="832">
        <f t="shared" si="62"/>
        <v>0</v>
      </c>
      <c r="AN43" s="831">
        <f t="shared" si="63"/>
        <v>750</v>
      </c>
      <c r="AO43" s="830"/>
      <c r="AP43" s="830">
        <v>9806.65</v>
      </c>
      <c r="AQ43" s="830"/>
      <c r="AR43" s="832">
        <f t="shared" si="64"/>
        <v>9806.65</v>
      </c>
      <c r="AS43" s="830"/>
      <c r="AT43" s="832">
        <f t="shared" si="65"/>
        <v>0</v>
      </c>
      <c r="AU43" s="831">
        <f t="shared" si="66"/>
        <v>9806.65</v>
      </c>
      <c r="AV43" s="830"/>
      <c r="AW43" s="831">
        <f t="shared" si="67"/>
        <v>0</v>
      </c>
      <c r="AX43" s="830">
        <f t="shared" si="68"/>
        <v>13296.65</v>
      </c>
      <c r="AY43" s="829">
        <v>13296.65</v>
      </c>
      <c r="AZ43" s="827" t="b">
        <f t="shared" si="69"/>
        <v>1</v>
      </c>
      <c r="BA43" s="828">
        <f t="shared" si="70"/>
        <v>2.1907097916859741E-2</v>
      </c>
      <c r="BB43" s="827"/>
      <c r="BC43" s="826">
        <v>2</v>
      </c>
      <c r="BD43" s="826">
        <v>0</v>
      </c>
      <c r="BE43" s="826">
        <f t="shared" si="71"/>
        <v>2</v>
      </c>
      <c r="BF43" s="826">
        <v>857</v>
      </c>
      <c r="BG43" s="826">
        <v>0</v>
      </c>
      <c r="BH43" s="825">
        <f t="shared" si="72"/>
        <v>857</v>
      </c>
    </row>
    <row r="44" spans="1:60" ht="82" x14ac:dyDescent="0.65">
      <c r="A44" s="840">
        <f t="shared" si="73"/>
        <v>33</v>
      </c>
      <c r="B44" s="839" t="s">
        <v>891</v>
      </c>
      <c r="C44" s="838" t="s">
        <v>1384</v>
      </c>
      <c r="D44" s="838" t="s">
        <v>1117</v>
      </c>
      <c r="E44" s="837" t="s">
        <v>1116</v>
      </c>
      <c r="F44" s="842"/>
      <c r="G44" s="830"/>
      <c r="H44" s="830"/>
      <c r="I44" s="830"/>
      <c r="J44" s="830"/>
      <c r="K44" s="832">
        <f t="shared" si="52"/>
        <v>0</v>
      </c>
      <c r="L44" s="830"/>
      <c r="M44" s="832">
        <f t="shared" si="53"/>
        <v>0</v>
      </c>
      <c r="N44" s="831">
        <f t="shared" si="54"/>
        <v>0</v>
      </c>
      <c r="O44" s="842"/>
      <c r="P44" s="842"/>
      <c r="Q44" s="841">
        <f t="shared" si="55"/>
        <v>0</v>
      </c>
      <c r="R44" s="830"/>
      <c r="S44" s="830"/>
      <c r="T44" s="830"/>
      <c r="U44" s="832">
        <f t="shared" si="56"/>
        <v>0</v>
      </c>
      <c r="V44" s="830"/>
      <c r="W44" s="830"/>
      <c r="X44" s="830"/>
      <c r="Y44" s="830"/>
      <c r="Z44" s="832">
        <f t="shared" si="57"/>
        <v>0</v>
      </c>
      <c r="AA44" s="830"/>
      <c r="AB44" s="830"/>
      <c r="AC44" s="832">
        <f t="shared" si="58"/>
        <v>0</v>
      </c>
      <c r="AD44" s="834">
        <v>6749.6</v>
      </c>
      <c r="AE44" s="830"/>
      <c r="AF44" s="832">
        <f t="shared" si="59"/>
        <v>6749.6</v>
      </c>
      <c r="AG44" s="831">
        <f t="shared" si="60"/>
        <v>6749.6</v>
      </c>
      <c r="AH44" s="833">
        <v>750</v>
      </c>
      <c r="AI44" s="830"/>
      <c r="AJ44" s="832">
        <f t="shared" si="61"/>
        <v>750</v>
      </c>
      <c r="AK44" s="830">
        <v>2500</v>
      </c>
      <c r="AL44" s="830"/>
      <c r="AM44" s="832">
        <f t="shared" si="62"/>
        <v>2500</v>
      </c>
      <c r="AN44" s="831">
        <f t="shared" si="63"/>
        <v>3250</v>
      </c>
      <c r="AO44" s="830"/>
      <c r="AP44" s="830"/>
      <c r="AQ44" s="830"/>
      <c r="AR44" s="832">
        <f t="shared" si="64"/>
        <v>0</v>
      </c>
      <c r="AS44" s="830"/>
      <c r="AT44" s="832">
        <f t="shared" si="65"/>
        <v>0</v>
      </c>
      <c r="AU44" s="831">
        <f t="shared" si="66"/>
        <v>0</v>
      </c>
      <c r="AV44" s="830"/>
      <c r="AW44" s="831">
        <f t="shared" si="67"/>
        <v>0</v>
      </c>
      <c r="AX44" s="830">
        <f t="shared" si="68"/>
        <v>9999.6</v>
      </c>
      <c r="AY44" s="829">
        <v>10000</v>
      </c>
      <c r="AZ44" s="827" t="b">
        <f t="shared" si="69"/>
        <v>0</v>
      </c>
      <c r="BA44" s="828">
        <f t="shared" si="70"/>
        <v>1.647499304933428E-2</v>
      </c>
      <c r="BB44" s="827"/>
      <c r="BC44" s="826">
        <v>6</v>
      </c>
      <c r="BD44" s="826">
        <v>0</v>
      </c>
      <c r="BE44" s="826">
        <f t="shared" si="71"/>
        <v>6</v>
      </c>
      <c r="BF44" s="826">
        <v>150</v>
      </c>
      <c r="BG44" s="826">
        <v>0</v>
      </c>
      <c r="BH44" s="825">
        <f t="shared" si="72"/>
        <v>150</v>
      </c>
    </row>
    <row r="45" spans="1:60" ht="176.25" customHeight="1" x14ac:dyDescent="0.65">
      <c r="A45" s="840">
        <f t="shared" si="73"/>
        <v>34</v>
      </c>
      <c r="B45" s="839" t="s">
        <v>891</v>
      </c>
      <c r="C45" s="838" t="s">
        <v>1384</v>
      </c>
      <c r="D45" s="838" t="s">
        <v>1115</v>
      </c>
      <c r="E45" s="837" t="s">
        <v>1114</v>
      </c>
      <c r="F45" s="830">
        <v>2413.98</v>
      </c>
      <c r="G45" s="830"/>
      <c r="H45" s="830"/>
      <c r="I45" s="830"/>
      <c r="J45" s="830"/>
      <c r="K45" s="832">
        <f t="shared" si="52"/>
        <v>2413.98</v>
      </c>
      <c r="L45" s="834">
        <v>180</v>
      </c>
      <c r="M45" s="832">
        <f t="shared" si="53"/>
        <v>180</v>
      </c>
      <c r="N45" s="831">
        <f t="shared" si="54"/>
        <v>2593.98</v>
      </c>
      <c r="O45" s="833"/>
      <c r="P45" s="836">
        <v>2500.02</v>
      </c>
      <c r="Q45" s="835">
        <f t="shared" si="55"/>
        <v>2500.02</v>
      </c>
      <c r="R45" s="830"/>
      <c r="S45" s="830"/>
      <c r="T45" s="830"/>
      <c r="U45" s="832">
        <f t="shared" si="56"/>
        <v>0</v>
      </c>
      <c r="V45" s="830"/>
      <c r="W45" s="833"/>
      <c r="X45" s="830"/>
      <c r="Y45" s="830"/>
      <c r="Z45" s="832">
        <f t="shared" si="57"/>
        <v>0</v>
      </c>
      <c r="AA45" s="830"/>
      <c r="AB45" s="830"/>
      <c r="AC45" s="832">
        <f t="shared" si="58"/>
        <v>0</v>
      </c>
      <c r="AD45" s="830"/>
      <c r="AE45" s="834"/>
      <c r="AF45" s="832">
        <f t="shared" si="59"/>
        <v>0</v>
      </c>
      <c r="AG45" s="831">
        <f t="shared" si="60"/>
        <v>0</v>
      </c>
      <c r="AH45" s="833">
        <v>750</v>
      </c>
      <c r="AI45" s="830"/>
      <c r="AJ45" s="832">
        <f t="shared" si="61"/>
        <v>750</v>
      </c>
      <c r="AK45" s="830"/>
      <c r="AL45" s="830"/>
      <c r="AM45" s="832">
        <f t="shared" si="62"/>
        <v>0</v>
      </c>
      <c r="AN45" s="831">
        <f t="shared" si="63"/>
        <v>750</v>
      </c>
      <c r="AO45" s="830"/>
      <c r="AP45" s="833">
        <v>6254.04</v>
      </c>
      <c r="AQ45" s="830"/>
      <c r="AR45" s="832">
        <f t="shared" si="64"/>
        <v>6254.04</v>
      </c>
      <c r="AS45" s="830">
        <v>5776</v>
      </c>
      <c r="AT45" s="832">
        <f t="shared" si="65"/>
        <v>5776</v>
      </c>
      <c r="AU45" s="831">
        <f t="shared" si="66"/>
        <v>12030.04</v>
      </c>
      <c r="AV45" s="830"/>
      <c r="AW45" s="831">
        <f t="shared" si="67"/>
        <v>0</v>
      </c>
      <c r="AX45" s="830">
        <f t="shared" si="68"/>
        <v>17874.04</v>
      </c>
      <c r="AY45" s="829">
        <v>17874.04</v>
      </c>
      <c r="AZ45" s="827" t="b">
        <f t="shared" si="69"/>
        <v>1</v>
      </c>
      <c r="BA45" s="828">
        <f t="shared" si="70"/>
        <v>2.9448646422209179E-2</v>
      </c>
      <c r="BB45" s="827"/>
      <c r="BC45" s="826">
        <v>4</v>
      </c>
      <c r="BD45" s="826">
        <v>0</v>
      </c>
      <c r="BE45" s="826">
        <f t="shared" si="71"/>
        <v>4</v>
      </c>
      <c r="BF45" s="826">
        <v>355</v>
      </c>
      <c r="BG45" s="826">
        <v>0</v>
      </c>
      <c r="BH45" s="825">
        <f t="shared" si="72"/>
        <v>355</v>
      </c>
    </row>
    <row r="46" spans="1:60" s="806" customFormat="1" ht="37.5" customHeight="1" x14ac:dyDescent="0.45">
      <c r="A46" s="1440" t="s">
        <v>1383</v>
      </c>
      <c r="B46" s="1440"/>
      <c r="C46" s="1440"/>
      <c r="D46" s="1440"/>
      <c r="E46" s="1440"/>
      <c r="F46" s="819">
        <f t="shared" ref="F46:BA46" si="74">SUM(F39:F45)</f>
        <v>34237.58</v>
      </c>
      <c r="G46" s="819">
        <f t="shared" si="74"/>
        <v>0</v>
      </c>
      <c r="H46" s="819">
        <f t="shared" si="74"/>
        <v>0</v>
      </c>
      <c r="I46" s="819">
        <f t="shared" si="74"/>
        <v>0</v>
      </c>
      <c r="J46" s="819">
        <f t="shared" si="74"/>
        <v>0</v>
      </c>
      <c r="K46" s="821">
        <f t="shared" si="74"/>
        <v>34237.58</v>
      </c>
      <c r="L46" s="823">
        <f t="shared" si="74"/>
        <v>1180</v>
      </c>
      <c r="M46" s="821">
        <f t="shared" si="74"/>
        <v>1180</v>
      </c>
      <c r="N46" s="820">
        <f t="shared" si="74"/>
        <v>35417.58</v>
      </c>
      <c r="O46" s="822">
        <f t="shared" si="74"/>
        <v>2000</v>
      </c>
      <c r="P46" s="822">
        <f t="shared" si="74"/>
        <v>10500.02</v>
      </c>
      <c r="Q46" s="824">
        <f t="shared" si="74"/>
        <v>12500.02</v>
      </c>
      <c r="R46" s="819">
        <f t="shared" si="74"/>
        <v>0</v>
      </c>
      <c r="S46" s="819">
        <f t="shared" si="74"/>
        <v>0</v>
      </c>
      <c r="T46" s="819">
        <f t="shared" si="74"/>
        <v>0</v>
      </c>
      <c r="U46" s="821">
        <f t="shared" si="74"/>
        <v>0</v>
      </c>
      <c r="V46" s="819">
        <f t="shared" si="74"/>
        <v>0</v>
      </c>
      <c r="W46" s="822">
        <f t="shared" si="74"/>
        <v>0</v>
      </c>
      <c r="X46" s="819">
        <f t="shared" si="74"/>
        <v>0</v>
      </c>
      <c r="Y46" s="819">
        <f t="shared" si="74"/>
        <v>0</v>
      </c>
      <c r="Z46" s="821">
        <f t="shared" si="74"/>
        <v>0</v>
      </c>
      <c r="AA46" s="819">
        <f t="shared" si="74"/>
        <v>0</v>
      </c>
      <c r="AB46" s="819">
        <f t="shared" si="74"/>
        <v>0</v>
      </c>
      <c r="AC46" s="821">
        <f t="shared" si="74"/>
        <v>0</v>
      </c>
      <c r="AD46" s="819">
        <f t="shared" si="74"/>
        <v>6749.6</v>
      </c>
      <c r="AE46" s="823">
        <f t="shared" si="74"/>
        <v>0</v>
      </c>
      <c r="AF46" s="821">
        <f t="shared" si="74"/>
        <v>6749.6</v>
      </c>
      <c r="AG46" s="820">
        <f t="shared" si="74"/>
        <v>6749.6</v>
      </c>
      <c r="AH46" s="822">
        <f t="shared" si="74"/>
        <v>5250</v>
      </c>
      <c r="AI46" s="819">
        <f t="shared" si="74"/>
        <v>0</v>
      </c>
      <c r="AJ46" s="821">
        <f t="shared" si="74"/>
        <v>5250</v>
      </c>
      <c r="AK46" s="819">
        <f t="shared" si="74"/>
        <v>2500</v>
      </c>
      <c r="AL46" s="819">
        <f t="shared" si="74"/>
        <v>0</v>
      </c>
      <c r="AM46" s="821">
        <f t="shared" si="74"/>
        <v>2500</v>
      </c>
      <c r="AN46" s="820">
        <f t="shared" si="74"/>
        <v>7750</v>
      </c>
      <c r="AO46" s="819">
        <f t="shared" si="74"/>
        <v>0</v>
      </c>
      <c r="AP46" s="822">
        <f t="shared" si="74"/>
        <v>36991.730000000003</v>
      </c>
      <c r="AQ46" s="819">
        <f t="shared" si="74"/>
        <v>14406</v>
      </c>
      <c r="AR46" s="821">
        <f t="shared" si="74"/>
        <v>51397.73</v>
      </c>
      <c r="AS46" s="819">
        <f t="shared" si="74"/>
        <v>5776</v>
      </c>
      <c r="AT46" s="821">
        <f t="shared" si="74"/>
        <v>5776</v>
      </c>
      <c r="AU46" s="820">
        <f t="shared" si="74"/>
        <v>57173.73</v>
      </c>
      <c r="AV46" s="819">
        <f t="shared" si="74"/>
        <v>1500</v>
      </c>
      <c r="AW46" s="820">
        <f t="shared" si="74"/>
        <v>1500</v>
      </c>
      <c r="AX46" s="819">
        <f t="shared" si="74"/>
        <v>121090.93</v>
      </c>
      <c r="AY46" s="818">
        <f t="shared" si="74"/>
        <v>121165.26999999999</v>
      </c>
      <c r="AZ46" s="807">
        <f t="shared" si="74"/>
        <v>0</v>
      </c>
      <c r="BA46" s="817">
        <f t="shared" si="74"/>
        <v>0.19950520321687107</v>
      </c>
      <c r="BB46" s="807"/>
      <c r="BC46" s="816">
        <f t="shared" ref="BC46:BH46" si="75">SUM(BC39:BC45)</f>
        <v>35</v>
      </c>
      <c r="BD46" s="816">
        <f t="shared" si="75"/>
        <v>48</v>
      </c>
      <c r="BE46" s="816">
        <f t="shared" si="75"/>
        <v>83</v>
      </c>
      <c r="BF46" s="816">
        <f t="shared" si="75"/>
        <v>2563</v>
      </c>
      <c r="BG46" s="816">
        <f t="shared" si="75"/>
        <v>2271</v>
      </c>
      <c r="BH46" s="816">
        <f t="shared" si="75"/>
        <v>4834</v>
      </c>
    </row>
    <row r="47" spans="1:60" s="806" customFormat="1" ht="37.5" customHeight="1" x14ac:dyDescent="0.45">
      <c r="A47" s="1440"/>
      <c r="B47" s="1440"/>
      <c r="C47" s="1440"/>
      <c r="D47" s="1440"/>
      <c r="E47" s="1440"/>
      <c r="F47" s="808">
        <f t="shared" ref="F47:AZ47" si="76">F46/$AX$46</f>
        <v>0.28274272895583513</v>
      </c>
      <c r="G47" s="808">
        <f t="shared" si="76"/>
        <v>0</v>
      </c>
      <c r="H47" s="808">
        <f t="shared" si="76"/>
        <v>0</v>
      </c>
      <c r="I47" s="808">
        <f t="shared" si="76"/>
        <v>0</v>
      </c>
      <c r="J47" s="808">
        <f t="shared" si="76"/>
        <v>0</v>
      </c>
      <c r="K47" s="812">
        <f t="shared" si="76"/>
        <v>0.28274272895583513</v>
      </c>
      <c r="L47" s="814">
        <f t="shared" si="76"/>
        <v>9.744743062093917E-3</v>
      </c>
      <c r="M47" s="812">
        <f t="shared" si="76"/>
        <v>9.744743062093917E-3</v>
      </c>
      <c r="N47" s="811">
        <f t="shared" si="76"/>
        <v>0.29248747201792902</v>
      </c>
      <c r="O47" s="813">
        <f t="shared" si="76"/>
        <v>1.6516513664565961E-2</v>
      </c>
      <c r="P47" s="813">
        <f t="shared" si="76"/>
        <v>8.6711861904107942E-2</v>
      </c>
      <c r="Q47" s="815">
        <f t="shared" si="76"/>
        <v>0.1032283755686739</v>
      </c>
      <c r="R47" s="808">
        <f t="shared" si="76"/>
        <v>0</v>
      </c>
      <c r="S47" s="808">
        <f t="shared" si="76"/>
        <v>0</v>
      </c>
      <c r="T47" s="808">
        <f t="shared" si="76"/>
        <v>0</v>
      </c>
      <c r="U47" s="812">
        <f t="shared" si="76"/>
        <v>0</v>
      </c>
      <c r="V47" s="808">
        <f t="shared" si="76"/>
        <v>0</v>
      </c>
      <c r="W47" s="813">
        <f t="shared" si="76"/>
        <v>0</v>
      </c>
      <c r="X47" s="808">
        <f t="shared" si="76"/>
        <v>0</v>
      </c>
      <c r="Y47" s="808">
        <f t="shared" si="76"/>
        <v>0</v>
      </c>
      <c r="Z47" s="812">
        <f t="shared" si="76"/>
        <v>0</v>
      </c>
      <c r="AA47" s="808">
        <f t="shared" si="76"/>
        <v>0</v>
      </c>
      <c r="AB47" s="808">
        <f t="shared" si="76"/>
        <v>0</v>
      </c>
      <c r="AC47" s="812">
        <f t="shared" si="76"/>
        <v>0</v>
      </c>
      <c r="AD47" s="808">
        <f t="shared" si="76"/>
        <v>5.5739930315177204E-2</v>
      </c>
      <c r="AE47" s="814">
        <f t="shared" si="76"/>
        <v>0</v>
      </c>
      <c r="AF47" s="812">
        <f t="shared" si="76"/>
        <v>5.5739930315177204E-2</v>
      </c>
      <c r="AG47" s="811">
        <f t="shared" si="76"/>
        <v>5.5739930315177204E-2</v>
      </c>
      <c r="AH47" s="813">
        <f t="shared" si="76"/>
        <v>4.3355848369485646E-2</v>
      </c>
      <c r="AI47" s="808">
        <f t="shared" si="76"/>
        <v>0</v>
      </c>
      <c r="AJ47" s="812">
        <f t="shared" si="76"/>
        <v>4.3355848369485646E-2</v>
      </c>
      <c r="AK47" s="808">
        <f t="shared" si="76"/>
        <v>2.064564208070745E-2</v>
      </c>
      <c r="AL47" s="808">
        <f t="shared" si="76"/>
        <v>0</v>
      </c>
      <c r="AM47" s="812">
        <f t="shared" si="76"/>
        <v>2.064564208070745E-2</v>
      </c>
      <c r="AN47" s="811">
        <f t="shared" si="76"/>
        <v>6.4001490450193099E-2</v>
      </c>
      <c r="AO47" s="808">
        <f t="shared" si="76"/>
        <v>0</v>
      </c>
      <c r="AP47" s="813">
        <f t="shared" si="76"/>
        <v>0.30548720701046728</v>
      </c>
      <c r="AQ47" s="808">
        <f t="shared" si="76"/>
        <v>0.11896844792586861</v>
      </c>
      <c r="AR47" s="812">
        <f t="shared" si="76"/>
        <v>0.42445565493633591</v>
      </c>
      <c r="AS47" s="808">
        <f t="shared" si="76"/>
        <v>4.769969146326649E-2</v>
      </c>
      <c r="AT47" s="812">
        <f t="shared" si="76"/>
        <v>4.769969146326649E-2</v>
      </c>
      <c r="AU47" s="811">
        <f t="shared" si="76"/>
        <v>0.47215534639960238</v>
      </c>
      <c r="AV47" s="808">
        <f t="shared" si="76"/>
        <v>1.2387385248424469E-2</v>
      </c>
      <c r="AW47" s="811">
        <f t="shared" si="76"/>
        <v>1.2387385248424469E-2</v>
      </c>
      <c r="AX47" s="808">
        <f t="shared" si="76"/>
        <v>1</v>
      </c>
      <c r="AY47" s="810">
        <f t="shared" si="76"/>
        <v>1.000613918812912</v>
      </c>
      <c r="AZ47" s="809">
        <f t="shared" si="76"/>
        <v>0</v>
      </c>
      <c r="BA47" s="808"/>
      <c r="BB47" s="807"/>
      <c r="BC47" s="783"/>
      <c r="BD47" s="783">
        <f>BD46/BC46</f>
        <v>1.3714285714285714</v>
      </c>
      <c r="BE47" s="783"/>
      <c r="BF47" s="783"/>
      <c r="BG47" s="783">
        <f>BG46/BF46</f>
        <v>0.88607101053452986</v>
      </c>
      <c r="BH47" s="783"/>
    </row>
    <row r="48" spans="1:60" ht="24.75" customHeight="1" x14ac:dyDescent="0.45">
      <c r="A48" s="805"/>
      <c r="B48" s="805"/>
      <c r="C48" s="805"/>
      <c r="D48" s="805"/>
      <c r="E48" s="747"/>
      <c r="F48" s="805"/>
      <c r="G48" s="805"/>
      <c r="H48" s="805"/>
      <c r="I48" s="805"/>
      <c r="J48" s="805"/>
      <c r="K48" s="805"/>
      <c r="L48" s="805"/>
      <c r="M48" s="805"/>
      <c r="N48" s="805"/>
      <c r="O48" s="805"/>
      <c r="P48" s="805"/>
      <c r="Q48" s="805"/>
      <c r="R48" s="805"/>
      <c r="S48" s="805"/>
      <c r="T48" s="805"/>
      <c r="U48" s="805"/>
      <c r="V48" s="805"/>
      <c r="W48" s="805"/>
      <c r="X48" s="805"/>
      <c r="Y48" s="805"/>
      <c r="Z48" s="805"/>
      <c r="AA48" s="805"/>
      <c r="AB48" s="805"/>
      <c r="AC48" s="805"/>
      <c r="AD48" s="805"/>
      <c r="AE48" s="805"/>
      <c r="AF48" s="805"/>
      <c r="AG48" s="805"/>
      <c r="AH48" s="805"/>
      <c r="AI48" s="805"/>
      <c r="AJ48" s="805"/>
      <c r="AK48" s="805"/>
      <c r="AL48" s="805"/>
      <c r="AM48" s="805"/>
      <c r="AN48" s="805"/>
      <c r="AO48" s="805"/>
      <c r="AP48" s="805"/>
      <c r="AQ48" s="805"/>
      <c r="AR48" s="805"/>
      <c r="AS48" s="805"/>
      <c r="AT48" s="805"/>
      <c r="AU48" s="805"/>
      <c r="AV48" s="805"/>
      <c r="AW48" s="805"/>
      <c r="AX48" s="805"/>
      <c r="AY48" s="805"/>
      <c r="AZ48" s="805"/>
      <c r="BA48" s="805"/>
      <c r="BB48" s="805"/>
      <c r="BC48" s="804"/>
      <c r="BD48" s="804"/>
      <c r="BE48" s="804"/>
      <c r="BF48" s="804"/>
      <c r="BG48" s="804"/>
      <c r="BH48" s="804"/>
    </row>
    <row r="49" spans="1:60" s="792" customFormat="1" ht="45" customHeight="1" x14ac:dyDescent="0.45">
      <c r="A49" s="1435" t="s">
        <v>1382</v>
      </c>
      <c r="B49" s="1435"/>
      <c r="C49" s="1435"/>
      <c r="D49" s="1435"/>
      <c r="E49" s="1435"/>
      <c r="F49" s="800">
        <f t="shared" ref="F49:AG49" si="77">F37+F46+F24</f>
        <v>139857.79</v>
      </c>
      <c r="G49" s="800">
        <f t="shared" si="77"/>
        <v>22511.22</v>
      </c>
      <c r="H49" s="800">
        <f t="shared" si="77"/>
        <v>18873.34</v>
      </c>
      <c r="I49" s="800">
        <f t="shared" si="77"/>
        <v>2649.36</v>
      </c>
      <c r="J49" s="800">
        <f t="shared" si="77"/>
        <v>3745</v>
      </c>
      <c r="K49" s="799">
        <f t="shared" si="77"/>
        <v>187636.71</v>
      </c>
      <c r="L49" s="800">
        <f t="shared" si="77"/>
        <v>87500.9</v>
      </c>
      <c r="M49" s="799">
        <f t="shared" si="77"/>
        <v>87500.9</v>
      </c>
      <c r="N49" s="798">
        <f t="shared" si="77"/>
        <v>275137.61</v>
      </c>
      <c r="O49" s="801">
        <f t="shared" si="77"/>
        <v>30000</v>
      </c>
      <c r="P49" s="801">
        <f t="shared" si="77"/>
        <v>15500.02</v>
      </c>
      <c r="Q49" s="803">
        <f t="shared" si="77"/>
        <v>45500.020000000004</v>
      </c>
      <c r="R49" s="800">
        <f t="shared" si="77"/>
        <v>22884</v>
      </c>
      <c r="S49" s="800">
        <f t="shared" si="77"/>
        <v>1568</v>
      </c>
      <c r="T49" s="800">
        <f t="shared" si="77"/>
        <v>18410.64</v>
      </c>
      <c r="U49" s="799">
        <f t="shared" si="77"/>
        <v>42862.64</v>
      </c>
      <c r="V49" s="800">
        <f t="shared" si="77"/>
        <v>1270.8599999999999</v>
      </c>
      <c r="W49" s="800">
        <f t="shared" si="77"/>
        <v>12915.16</v>
      </c>
      <c r="X49" s="800">
        <f t="shared" si="77"/>
        <v>244.8</v>
      </c>
      <c r="Y49" s="800">
        <f t="shared" si="77"/>
        <v>15563.28</v>
      </c>
      <c r="Z49" s="799">
        <f t="shared" si="77"/>
        <v>29994.1</v>
      </c>
      <c r="AA49" s="800">
        <f t="shared" si="77"/>
        <v>52982.11</v>
      </c>
      <c r="AB49" s="800">
        <f t="shared" si="77"/>
        <v>660</v>
      </c>
      <c r="AC49" s="799">
        <f t="shared" si="77"/>
        <v>53642.11</v>
      </c>
      <c r="AD49" s="800">
        <f t="shared" si="77"/>
        <v>11943.6</v>
      </c>
      <c r="AE49" s="802">
        <f t="shared" si="77"/>
        <v>14447.01</v>
      </c>
      <c r="AF49" s="799">
        <f t="shared" si="77"/>
        <v>26390.61</v>
      </c>
      <c r="AG49" s="798">
        <f t="shared" si="77"/>
        <v>152889.46000000002</v>
      </c>
      <c r="AH49" s="797">
        <f>(AH37+AH46+AH24)</f>
        <v>30060</v>
      </c>
      <c r="AI49" s="800">
        <f>AI37+AI46+AI24</f>
        <v>4104.4799999999996</v>
      </c>
      <c r="AJ49" s="799">
        <f>AI49+AH49</f>
        <v>34164.479999999996</v>
      </c>
      <c r="AK49" s="800">
        <f>AK37+AK46+AK24</f>
        <v>5000</v>
      </c>
      <c r="AL49" s="800">
        <f>AL37+AL46+AL24</f>
        <v>2979.13</v>
      </c>
      <c r="AM49" s="799">
        <f>AM37+AM46+AM24</f>
        <v>7979.13</v>
      </c>
      <c r="AN49" s="798">
        <f>AM49+AJ49</f>
        <v>42143.609999999993</v>
      </c>
      <c r="AO49" s="801">
        <f t="shared" ref="AO49:AW49" si="78">AO37+AO46+AO24</f>
        <v>19111.82</v>
      </c>
      <c r="AP49" s="800">
        <f t="shared" si="78"/>
        <v>36991.730000000003</v>
      </c>
      <c r="AQ49" s="800">
        <f t="shared" si="78"/>
        <v>14406</v>
      </c>
      <c r="AR49" s="799">
        <f t="shared" si="78"/>
        <v>70509.55</v>
      </c>
      <c r="AS49" s="800">
        <f t="shared" si="78"/>
        <v>5776</v>
      </c>
      <c r="AT49" s="799">
        <f t="shared" si="78"/>
        <v>5776</v>
      </c>
      <c r="AU49" s="798">
        <f t="shared" si="78"/>
        <v>76285.55</v>
      </c>
      <c r="AV49" s="797">
        <f t="shared" si="78"/>
        <v>15000</v>
      </c>
      <c r="AW49" s="797">
        <f t="shared" si="78"/>
        <v>15000</v>
      </c>
      <c r="AX49" s="795">
        <f>SUM(AW49,AU49,AN49,AG49,Q49,N49)</f>
        <v>606956.25</v>
      </c>
      <c r="AY49" s="796"/>
      <c r="AZ49" s="796" t="b">
        <f>AY49=AX49</f>
        <v>0</v>
      </c>
      <c r="BA49" s="795"/>
      <c r="BB49" s="794"/>
      <c r="BC49" s="793">
        <f t="shared" ref="BC49:BH49" si="79">BC37+BC46+BC24</f>
        <v>213</v>
      </c>
      <c r="BD49" s="793">
        <f t="shared" si="79"/>
        <v>49</v>
      </c>
      <c r="BE49" s="793">
        <f t="shared" si="79"/>
        <v>262</v>
      </c>
      <c r="BF49" s="793">
        <f t="shared" si="79"/>
        <v>10814</v>
      </c>
      <c r="BG49" s="793">
        <f t="shared" si="79"/>
        <v>2897</v>
      </c>
      <c r="BH49" s="793">
        <f t="shared" si="79"/>
        <v>13711</v>
      </c>
    </row>
    <row r="50" spans="1:60" s="752" customFormat="1" ht="45" customHeight="1" x14ac:dyDescent="0.45">
      <c r="A50" s="1436" t="s">
        <v>1381</v>
      </c>
      <c r="B50" s="1436"/>
      <c r="C50" s="1436"/>
      <c r="D50" s="1436"/>
      <c r="E50" s="1436"/>
      <c r="F50" s="788">
        <f t="shared" ref="F50:AX50" si="80">F49/$AX$49</f>
        <v>0.23042482880767767</v>
      </c>
      <c r="G50" s="788">
        <f t="shared" si="80"/>
        <v>3.7088702851317538E-2</v>
      </c>
      <c r="H50" s="788">
        <f t="shared" si="80"/>
        <v>3.109505833410563E-2</v>
      </c>
      <c r="I50" s="788">
        <f t="shared" si="80"/>
        <v>4.3649933582527575E-3</v>
      </c>
      <c r="J50" s="788">
        <f t="shared" si="80"/>
        <v>6.1701317022437776E-3</v>
      </c>
      <c r="K50" s="787">
        <f t="shared" si="80"/>
        <v>0.30914371505359733</v>
      </c>
      <c r="L50" s="788">
        <f t="shared" si="80"/>
        <v>0.14416343846858812</v>
      </c>
      <c r="M50" s="787">
        <f t="shared" si="80"/>
        <v>0.14416343846858812</v>
      </c>
      <c r="N50" s="786">
        <f t="shared" si="80"/>
        <v>0.45330715352218548</v>
      </c>
      <c r="O50" s="789">
        <f t="shared" si="80"/>
        <v>4.9426956226251893E-2</v>
      </c>
      <c r="P50" s="789">
        <f t="shared" si="80"/>
        <v>2.5537293668200962E-2</v>
      </c>
      <c r="Q50" s="791">
        <f t="shared" si="80"/>
        <v>7.4964249894452856E-2</v>
      </c>
      <c r="R50" s="788">
        <f t="shared" si="80"/>
        <v>3.770288220938494E-2</v>
      </c>
      <c r="S50" s="788">
        <f t="shared" si="80"/>
        <v>2.5833822454254321E-3</v>
      </c>
      <c r="T50" s="788">
        <f t="shared" si="80"/>
        <v>3.033272991257607E-2</v>
      </c>
      <c r="U50" s="787">
        <f t="shared" si="80"/>
        <v>7.0618994367386445E-2</v>
      </c>
      <c r="V50" s="788">
        <f t="shared" si="80"/>
        <v>2.0938247196564826E-3</v>
      </c>
      <c r="W50" s="788">
        <f t="shared" si="80"/>
        <v>2.1278568265834647E-2</v>
      </c>
      <c r="X50" s="788">
        <f t="shared" si="80"/>
        <v>4.0332396280621548E-4</v>
      </c>
      <c r="Y50" s="788">
        <f t="shared" si="80"/>
        <v>2.5641518643230051E-2</v>
      </c>
      <c r="Z50" s="787">
        <f t="shared" si="80"/>
        <v>4.9417235591527393E-2</v>
      </c>
      <c r="AA50" s="788">
        <f t="shared" si="80"/>
        <v>8.7291481058148754E-2</v>
      </c>
      <c r="AB50" s="788">
        <f t="shared" si="80"/>
        <v>1.0873930369775416E-3</v>
      </c>
      <c r="AC50" s="787">
        <f t="shared" si="80"/>
        <v>8.8378874095126292E-2</v>
      </c>
      <c r="AD50" s="788">
        <f t="shared" si="80"/>
        <v>1.9677859812795403E-2</v>
      </c>
      <c r="AE50" s="790">
        <f t="shared" si="80"/>
        <v>2.3802391029007445E-2</v>
      </c>
      <c r="AF50" s="787">
        <f t="shared" si="80"/>
        <v>4.3480250841802848E-2</v>
      </c>
      <c r="AG50" s="786">
        <f t="shared" si="80"/>
        <v>0.25189535489584303</v>
      </c>
      <c r="AH50" s="785">
        <f t="shared" si="80"/>
        <v>4.9525810138704399E-2</v>
      </c>
      <c r="AI50" s="788">
        <f t="shared" si="80"/>
        <v>6.7623984430508783E-3</v>
      </c>
      <c r="AJ50" s="787">
        <f t="shared" si="80"/>
        <v>5.6288208581755268E-2</v>
      </c>
      <c r="AK50" s="788">
        <f t="shared" si="80"/>
        <v>8.2378260377086489E-3</v>
      </c>
      <c r="AL50" s="788">
        <f t="shared" si="80"/>
        <v>4.9083109367437936E-3</v>
      </c>
      <c r="AM50" s="787">
        <f t="shared" si="80"/>
        <v>1.3146136974452442E-2</v>
      </c>
      <c r="AN50" s="786">
        <f t="shared" si="80"/>
        <v>6.9434345556207699E-2</v>
      </c>
      <c r="AO50" s="789">
        <f t="shared" si="80"/>
        <v>3.1487969684800179E-2</v>
      </c>
      <c r="AP50" s="788">
        <f t="shared" si="80"/>
        <v>6.0946287314777636E-2</v>
      </c>
      <c r="AQ50" s="788">
        <f t="shared" si="80"/>
        <v>2.373482437984616E-2</v>
      </c>
      <c r="AR50" s="787">
        <f t="shared" si="80"/>
        <v>0.11616908137942397</v>
      </c>
      <c r="AS50" s="788">
        <f t="shared" si="80"/>
        <v>9.5163366387610304E-3</v>
      </c>
      <c r="AT50" s="787">
        <f t="shared" si="80"/>
        <v>9.5163366387610304E-3</v>
      </c>
      <c r="AU50" s="786">
        <f t="shared" si="80"/>
        <v>0.125685418018185</v>
      </c>
      <c r="AV50" s="785">
        <f t="shared" si="80"/>
        <v>2.4713478113125947E-2</v>
      </c>
      <c r="AW50" s="785">
        <f t="shared" si="80"/>
        <v>2.4713478113125947E-2</v>
      </c>
      <c r="AX50" s="755">
        <f t="shared" si="80"/>
        <v>1</v>
      </c>
      <c r="AY50" s="756"/>
      <c r="AZ50" s="756" t="b">
        <f>AY50=AX50</f>
        <v>0</v>
      </c>
      <c r="BA50" s="755"/>
      <c r="BB50" s="784"/>
      <c r="BC50" s="783"/>
      <c r="BD50" s="783">
        <f>BD49/BC49</f>
        <v>0.2300469483568075</v>
      </c>
      <c r="BE50" s="783"/>
      <c r="BF50" s="783"/>
      <c r="BG50" s="783">
        <f>BG49/BF49</f>
        <v>0.26789347142592934</v>
      </c>
      <c r="BH50" s="783"/>
    </row>
    <row r="51" spans="1:60" ht="45" customHeight="1" x14ac:dyDescent="0.4">
      <c r="E51" s="775"/>
      <c r="K51" s="781"/>
      <c r="L51" s="781"/>
      <c r="M51" s="781"/>
      <c r="N51" s="781"/>
      <c r="O51" s="775"/>
      <c r="P51" s="775"/>
      <c r="Q51" s="782"/>
      <c r="R51" s="782"/>
      <c r="S51" s="782"/>
      <c r="T51" s="782"/>
      <c r="U51" s="782"/>
      <c r="V51" s="782"/>
      <c r="W51" s="782"/>
      <c r="X51" s="782"/>
      <c r="Y51" s="782"/>
      <c r="Z51" s="782"/>
      <c r="AA51" s="782"/>
      <c r="AB51" s="782"/>
      <c r="AC51" s="782"/>
      <c r="AD51" s="782"/>
      <c r="AE51" s="782"/>
      <c r="AF51" s="782"/>
      <c r="AG51" s="782"/>
      <c r="AH51" s="782"/>
      <c r="AI51" s="782"/>
      <c r="AJ51" s="782"/>
      <c r="AK51" s="782"/>
      <c r="AL51" s="782"/>
      <c r="AM51" s="782"/>
      <c r="AN51" s="782"/>
      <c r="AR51" s="781"/>
      <c r="AT51" s="781"/>
      <c r="AU51" s="781"/>
      <c r="AX51" s="780"/>
      <c r="AY51" s="779"/>
      <c r="AZ51" s="779"/>
    </row>
    <row r="52" spans="1:60" ht="45" hidden="1" customHeight="1" x14ac:dyDescent="0.4">
      <c r="E52" s="775"/>
      <c r="K52" s="781"/>
      <c r="L52" s="781"/>
      <c r="M52" s="781"/>
      <c r="N52" s="781"/>
      <c r="O52" s="775"/>
      <c r="P52" s="775"/>
      <c r="Q52" s="782"/>
      <c r="R52" s="782"/>
      <c r="S52" s="782"/>
      <c r="T52" s="782"/>
      <c r="U52" s="782"/>
      <c r="V52" s="782"/>
      <c r="W52" s="782"/>
      <c r="X52" s="782"/>
      <c r="Y52" s="782"/>
      <c r="Z52" s="782"/>
      <c r="AA52" s="782"/>
      <c r="AB52" s="782"/>
      <c r="AC52" s="782"/>
      <c r="AD52" s="782"/>
      <c r="AE52" s="782"/>
      <c r="AF52" s="782"/>
      <c r="AG52" s="782"/>
      <c r="AH52" s="782"/>
      <c r="AI52" s="782"/>
      <c r="AJ52" s="782"/>
      <c r="AK52" s="782"/>
      <c r="AL52" s="782"/>
      <c r="AM52" s="782"/>
      <c r="AN52" s="782"/>
      <c r="AR52" s="781"/>
      <c r="AT52" s="781"/>
      <c r="AU52" s="781"/>
      <c r="AX52" s="780"/>
      <c r="AY52" s="779"/>
      <c r="AZ52" s="779"/>
    </row>
    <row r="53" spans="1:60" hidden="1" x14ac:dyDescent="0.4">
      <c r="A53" s="1437" t="s">
        <v>1380</v>
      </c>
      <c r="B53" s="1437"/>
      <c r="C53" s="1437"/>
      <c r="D53" s="1437"/>
      <c r="E53" s="1437"/>
      <c r="F53" s="778">
        <f>SUM(F9:F36)</f>
        <v>147575.82633287451</v>
      </c>
      <c r="G53" s="778">
        <f>SUM(G9:G36)</f>
        <v>40645.167569789162</v>
      </c>
      <c r="H53" s="778">
        <f>SUM(H9:H36)</f>
        <v>18873.410325137513</v>
      </c>
      <c r="I53" s="778">
        <f>SUM(I9:I36)</f>
        <v>5298.7298719466889</v>
      </c>
      <c r="J53" s="778">
        <f>SUM(J9:J36)</f>
        <v>3745</v>
      </c>
      <c r="K53" s="778"/>
      <c r="L53" s="778">
        <f>SUM(L9:L36)</f>
        <v>128550.63827952629</v>
      </c>
      <c r="M53" s="778"/>
      <c r="N53" s="778"/>
      <c r="O53" s="778">
        <f>SUM(O9:O36)</f>
        <v>38000.044713953655</v>
      </c>
      <c r="P53" s="778">
        <f>SUM(P9:P36)</f>
        <v>10000.018630814026</v>
      </c>
      <c r="Q53" s="778"/>
      <c r="R53" s="778"/>
      <c r="S53" s="778"/>
      <c r="T53" s="778"/>
      <c r="U53" s="778"/>
      <c r="V53" s="778"/>
      <c r="W53" s="778"/>
      <c r="X53" s="778"/>
      <c r="Y53" s="778"/>
      <c r="Z53" s="778"/>
      <c r="AA53" s="778"/>
      <c r="AB53" s="778"/>
      <c r="AC53" s="778"/>
      <c r="AD53" s="778"/>
      <c r="AE53" s="778"/>
      <c r="AF53" s="778"/>
      <c r="AG53" s="778"/>
      <c r="AH53" s="778"/>
      <c r="AI53" s="778"/>
      <c r="AJ53" s="778"/>
      <c r="AK53" s="778"/>
      <c r="AL53" s="778"/>
      <c r="AM53" s="778"/>
      <c r="AN53" s="778"/>
      <c r="AO53" s="778">
        <f>SUM(AO9:AO36)</f>
        <v>38223.711213752817</v>
      </c>
      <c r="AP53" s="778">
        <f>SUM(AP9:AP36)</f>
        <v>0</v>
      </c>
      <c r="AQ53" s="778">
        <f>SUM(AQ9:AQ36)</f>
        <v>0</v>
      </c>
      <c r="AR53" s="778"/>
      <c r="AS53" s="778">
        <f>SUM(AS9:AS36)</f>
        <v>0</v>
      </c>
      <c r="AT53" s="778"/>
      <c r="AU53" s="778"/>
      <c r="AV53" s="778">
        <f>SUM(AV9:AV36)</f>
        <v>18750.022356976828</v>
      </c>
      <c r="AW53" s="778"/>
      <c r="AX53" s="778">
        <v>606961.27</v>
      </c>
      <c r="AY53" s="747">
        <v>572133.05000000005</v>
      </c>
    </row>
    <row r="54" spans="1:60" hidden="1" x14ac:dyDescent="0.4">
      <c r="F54" s="777">
        <f>F53/$AX$53</f>
        <v>0.24313878599350253</v>
      </c>
      <c r="G54" s="777">
        <f>G53/$AX$53</f>
        <v>6.6965010089999916E-2</v>
      </c>
      <c r="H54" s="777">
        <f>H53/$AX$53</f>
        <v>3.1094917020220273E-2</v>
      </c>
      <c r="I54" s="777">
        <f>I53/$AX$53</f>
        <v>8.7299307778677358E-3</v>
      </c>
      <c r="J54" s="777">
        <f>J53/$AX$53</f>
        <v>6.1700806708803674E-3</v>
      </c>
      <c r="K54" s="777"/>
      <c r="L54" s="777">
        <f>L53/$AX$53</f>
        <v>0.21179380733720668</v>
      </c>
      <c r="M54" s="777"/>
      <c r="N54" s="777"/>
      <c r="O54" s="777">
        <f>O53/$AX$53</f>
        <v>6.2607033746903906E-2</v>
      </c>
      <c r="P54" s="777">
        <f>P53/$AX$53</f>
        <v>1.6475546505321542E-2</v>
      </c>
      <c r="Q54" s="777"/>
      <c r="R54" s="777"/>
      <c r="S54" s="777"/>
      <c r="T54" s="777"/>
      <c r="U54" s="777"/>
      <c r="V54" s="777"/>
      <c r="W54" s="777"/>
      <c r="X54" s="777"/>
      <c r="Y54" s="777"/>
      <c r="Z54" s="777"/>
      <c r="AA54" s="777"/>
      <c r="AB54" s="777"/>
      <c r="AC54" s="777"/>
      <c r="AD54" s="777"/>
      <c r="AE54" s="777"/>
      <c r="AF54" s="777"/>
      <c r="AG54" s="777"/>
      <c r="AH54" s="777"/>
      <c r="AI54" s="777"/>
      <c r="AJ54" s="777"/>
      <c r="AK54" s="777"/>
      <c r="AL54" s="777"/>
      <c r="AM54" s="777"/>
      <c r="AN54" s="777"/>
      <c r="AO54" s="777">
        <f>AO53/$AX$53</f>
        <v>6.2975535842266867E-2</v>
      </c>
      <c r="AP54" s="777">
        <f>AP53/$AX$53</f>
        <v>0</v>
      </c>
      <c r="AQ54" s="777">
        <f>AQ53/$AX$53</f>
        <v>0</v>
      </c>
      <c r="AR54" s="777"/>
      <c r="AS54" s="777">
        <f>AS53/$AX$53</f>
        <v>0</v>
      </c>
      <c r="AT54" s="777"/>
      <c r="AU54" s="777"/>
      <c r="AV54" s="777">
        <f>AV53/$AX$53</f>
        <v>3.0891628978199592E-2</v>
      </c>
      <c r="AW54" s="777"/>
      <c r="AX54" s="776">
        <f>AX53/$AX$53</f>
        <v>1</v>
      </c>
    </row>
    <row r="55" spans="1:60" hidden="1" x14ac:dyDescent="0.4"/>
    <row r="56" spans="1:60" hidden="1" x14ac:dyDescent="0.4"/>
    <row r="57" spans="1:60" ht="45" hidden="1" customHeight="1" x14ac:dyDescent="0.45">
      <c r="A57" s="1438" t="s">
        <v>1380</v>
      </c>
      <c r="B57" s="1438"/>
      <c r="C57" s="1438"/>
      <c r="D57" s="1438"/>
      <c r="E57" s="775"/>
      <c r="F57" s="771">
        <v>139857.79</v>
      </c>
      <c r="G57" s="771">
        <v>22511.22</v>
      </c>
      <c r="H57" s="771">
        <v>18873.34</v>
      </c>
      <c r="I57" s="771">
        <v>2649.36</v>
      </c>
      <c r="J57" s="771">
        <v>3745</v>
      </c>
      <c r="K57" s="770">
        <v>187636.71</v>
      </c>
      <c r="L57" s="771">
        <v>87500.9</v>
      </c>
      <c r="M57" s="770">
        <v>87500.9</v>
      </c>
      <c r="N57" s="769">
        <v>275137.61</v>
      </c>
      <c r="O57" s="772">
        <v>30000</v>
      </c>
      <c r="P57" s="772">
        <v>15500.02</v>
      </c>
      <c r="Q57" s="774">
        <v>45500.020000000004</v>
      </c>
      <c r="R57" s="771">
        <v>22884</v>
      </c>
      <c r="S57" s="771">
        <v>1568</v>
      </c>
      <c r="T57" s="771">
        <v>18410.64</v>
      </c>
      <c r="U57" s="770">
        <v>42862.64</v>
      </c>
      <c r="V57" s="771">
        <v>1270.8599999999999</v>
      </c>
      <c r="W57" s="771">
        <v>12915.16</v>
      </c>
      <c r="X57" s="771">
        <v>244.8</v>
      </c>
      <c r="Y57" s="771">
        <v>15563.28</v>
      </c>
      <c r="Z57" s="770">
        <v>29994.100000000002</v>
      </c>
      <c r="AA57" s="771">
        <v>52982.11</v>
      </c>
      <c r="AB57" s="771">
        <v>660</v>
      </c>
      <c r="AC57" s="770">
        <v>53642.11</v>
      </c>
      <c r="AD57" s="771">
        <v>11943.6</v>
      </c>
      <c r="AE57" s="773">
        <v>14447.01</v>
      </c>
      <c r="AF57" s="770">
        <v>26390.61</v>
      </c>
      <c r="AG57" s="769">
        <v>152889.46000000002</v>
      </c>
      <c r="AH57" s="768">
        <v>30492.87999999987</v>
      </c>
      <c r="AI57" s="771">
        <v>4104.4799999999996</v>
      </c>
      <c r="AJ57" s="770">
        <v>34597.35999999987</v>
      </c>
      <c r="AK57" s="771">
        <v>5000</v>
      </c>
      <c r="AL57" s="771">
        <v>2979.13</v>
      </c>
      <c r="AM57" s="770">
        <v>7979.13</v>
      </c>
      <c r="AN57" s="769">
        <v>42576.489999999867</v>
      </c>
      <c r="AO57" s="772">
        <v>19111.82</v>
      </c>
      <c r="AP57" s="771">
        <v>36991.730000000003</v>
      </c>
      <c r="AQ57" s="771">
        <v>14406</v>
      </c>
      <c r="AR57" s="770">
        <v>70509.55</v>
      </c>
      <c r="AS57" s="771">
        <v>5776</v>
      </c>
      <c r="AT57" s="770">
        <v>5776</v>
      </c>
      <c r="AU57" s="769">
        <v>76285.55</v>
      </c>
      <c r="AV57" s="768">
        <v>15000</v>
      </c>
      <c r="AW57" s="768">
        <v>15000</v>
      </c>
      <c r="AX57" s="767">
        <v>607389.12999999989</v>
      </c>
      <c r="AY57" s="766"/>
      <c r="AZ57" s="766" t="b">
        <f>AY57=AX57</f>
        <v>0</v>
      </c>
      <c r="BA57" s="765">
        <f>AX57/$AX$49</f>
        <v>1.0007131980270405</v>
      </c>
      <c r="BC57" s="753"/>
      <c r="BD57" s="753"/>
      <c r="BE57" s="753"/>
      <c r="BF57" s="753"/>
      <c r="BG57" s="753"/>
      <c r="BH57" s="753"/>
    </row>
    <row r="58" spans="1:60" s="752" customFormat="1" ht="45" hidden="1" customHeight="1" x14ac:dyDescent="0.45">
      <c r="A58" s="1439" t="s">
        <v>1379</v>
      </c>
      <c r="B58" s="1439"/>
      <c r="C58" s="1439"/>
      <c r="D58" s="1439"/>
      <c r="E58" s="764"/>
      <c r="F58" s="760">
        <v>0.23026060739677714</v>
      </c>
      <c r="G58" s="760">
        <v>3.7062270113395024E-2</v>
      </c>
      <c r="H58" s="760">
        <v>3.1072897205124503E-2</v>
      </c>
      <c r="I58" s="760">
        <v>4.3618824722793451E-3</v>
      </c>
      <c r="J58" s="760">
        <v>6.165734312696707E-3</v>
      </c>
      <c r="K58" s="759">
        <v>0.3089233915002727</v>
      </c>
      <c r="L58" s="760">
        <v>0.14406069466537871</v>
      </c>
      <c r="M58" s="759">
        <v>0.14406069466537871</v>
      </c>
      <c r="N58" s="758">
        <v>0.45298408616565139</v>
      </c>
      <c r="O58" s="761">
        <v>4.9391730141762673E-2</v>
      </c>
      <c r="P58" s="761">
        <v>2.5519093501064141E-2</v>
      </c>
      <c r="Q58" s="763">
        <v>7.4910823642826821E-2</v>
      </c>
      <c r="R58" s="760">
        <v>3.7676011752136564E-2</v>
      </c>
      <c r="S58" s="760">
        <v>2.5815410954094621E-3</v>
      </c>
      <c r="T58" s="760">
        <v>3.0311112087238048E-2</v>
      </c>
      <c r="U58" s="759">
        <v>7.0568664934784073E-2</v>
      </c>
      <c r="V58" s="760">
        <v>2.0923324722653502E-3</v>
      </c>
      <c r="W58" s="760">
        <v>2.1263403248589587E-2</v>
      </c>
      <c r="X58" s="760">
        <v>4.0303651795678343E-4</v>
      </c>
      <c r="Y58" s="760">
        <v>2.5623244196023073E-2</v>
      </c>
      <c r="Z58" s="759">
        <v>4.9382016434834794E-2</v>
      </c>
      <c r="AA58" s="760">
        <v>8.7229269315372851E-2</v>
      </c>
      <c r="AB58" s="760">
        <v>1.0866180631187788E-3</v>
      </c>
      <c r="AC58" s="759">
        <v>8.8315887378491623E-2</v>
      </c>
      <c r="AD58" s="760">
        <v>1.9663835604038556E-2</v>
      </c>
      <c r="AE58" s="762">
        <v>2.3785427309178226E-2</v>
      </c>
      <c r="AF58" s="759">
        <v>4.3449262913216782E-2</v>
      </c>
      <c r="AG58" s="758">
        <v>0.25171583166132733</v>
      </c>
      <c r="AH58" s="757">
        <v>5.0203203340171525E-2</v>
      </c>
      <c r="AI58" s="760">
        <v>6.7575789510754009E-3</v>
      </c>
      <c r="AJ58" s="759">
        <v>5.6960782291246924E-2</v>
      </c>
      <c r="AK58" s="760">
        <v>8.2319550236271116E-3</v>
      </c>
      <c r="AL58" s="760">
        <v>4.9048128339076475E-3</v>
      </c>
      <c r="AM58" s="759">
        <v>1.3136767857534759E-2</v>
      </c>
      <c r="AN58" s="758">
        <v>7.0097550148781676E-2</v>
      </c>
      <c r="AO58" s="761">
        <v>3.1465528531931422E-2</v>
      </c>
      <c r="AP58" s="760">
        <v>6.0902851521231552E-2</v>
      </c>
      <c r="AQ58" s="760">
        <v>2.3717908814074436E-2</v>
      </c>
      <c r="AR58" s="759">
        <v>0.11608628886723742</v>
      </c>
      <c r="AS58" s="760">
        <v>9.5095544432940403E-3</v>
      </c>
      <c r="AT58" s="759">
        <v>9.5095544432940403E-3</v>
      </c>
      <c r="AU58" s="758">
        <v>0.12559584331053145</v>
      </c>
      <c r="AV58" s="757">
        <v>2.4695865070881336E-2</v>
      </c>
      <c r="AW58" s="757">
        <v>2.4695865070881336E-2</v>
      </c>
      <c r="AX58" s="755">
        <v>1</v>
      </c>
      <c r="AY58" s="756"/>
      <c r="AZ58" s="756" t="b">
        <f>AY58=AX58</f>
        <v>0</v>
      </c>
      <c r="BA58" s="755"/>
      <c r="BB58" s="754"/>
      <c r="BC58" s="753"/>
      <c r="BD58" s="753"/>
      <c r="BE58" s="753"/>
      <c r="BF58" s="753"/>
      <c r="BG58" s="753"/>
      <c r="BH58" s="753"/>
    </row>
    <row r="59" spans="1:60" hidden="1" x14ac:dyDescent="0.35">
      <c r="F59" s="749" t="b">
        <f t="shared" ref="F59:AX59" si="81">F49=F57</f>
        <v>1</v>
      </c>
      <c r="G59" s="749" t="b">
        <f t="shared" si="81"/>
        <v>1</v>
      </c>
      <c r="H59" s="749" t="b">
        <f t="shared" si="81"/>
        <v>1</v>
      </c>
      <c r="I59" s="749" t="b">
        <f t="shared" si="81"/>
        <v>1</v>
      </c>
      <c r="J59" s="749" t="b">
        <f t="shared" si="81"/>
        <v>1</v>
      </c>
      <c r="K59" s="749" t="b">
        <f t="shared" si="81"/>
        <v>1</v>
      </c>
      <c r="L59" s="749" t="b">
        <f t="shared" si="81"/>
        <v>1</v>
      </c>
      <c r="M59" s="749" t="b">
        <f t="shared" si="81"/>
        <v>1</v>
      </c>
      <c r="N59" s="749" t="b">
        <f t="shared" si="81"/>
        <v>1</v>
      </c>
      <c r="O59" s="749" t="b">
        <f t="shared" si="81"/>
        <v>1</v>
      </c>
      <c r="P59" s="749" t="b">
        <f t="shared" si="81"/>
        <v>1</v>
      </c>
      <c r="Q59" s="749" t="b">
        <f t="shared" si="81"/>
        <v>1</v>
      </c>
      <c r="R59" s="749" t="b">
        <f t="shared" si="81"/>
        <v>1</v>
      </c>
      <c r="S59" s="749" t="b">
        <f t="shared" si="81"/>
        <v>1</v>
      </c>
      <c r="T59" s="749" t="b">
        <f t="shared" si="81"/>
        <v>1</v>
      </c>
      <c r="U59" s="749" t="b">
        <f t="shared" si="81"/>
        <v>1</v>
      </c>
      <c r="V59" s="749" t="b">
        <f t="shared" si="81"/>
        <v>1</v>
      </c>
      <c r="W59" s="749" t="b">
        <f t="shared" si="81"/>
        <v>1</v>
      </c>
      <c r="X59" s="749" t="b">
        <f t="shared" si="81"/>
        <v>1</v>
      </c>
      <c r="Y59" s="749" t="b">
        <f t="shared" si="81"/>
        <v>1</v>
      </c>
      <c r="Z59" s="749" t="b">
        <f t="shared" si="81"/>
        <v>1</v>
      </c>
      <c r="AA59" s="749" t="b">
        <f t="shared" si="81"/>
        <v>1</v>
      </c>
      <c r="AB59" s="749" t="b">
        <f t="shared" si="81"/>
        <v>1</v>
      </c>
      <c r="AC59" s="749" t="b">
        <f t="shared" si="81"/>
        <v>1</v>
      </c>
      <c r="AD59" s="749" t="b">
        <f t="shared" si="81"/>
        <v>1</v>
      </c>
      <c r="AE59" s="749" t="b">
        <f t="shared" si="81"/>
        <v>1</v>
      </c>
      <c r="AF59" s="749" t="b">
        <f t="shared" si="81"/>
        <v>1</v>
      </c>
      <c r="AG59" s="749" t="b">
        <f t="shared" si="81"/>
        <v>1</v>
      </c>
      <c r="AH59" s="749" t="b">
        <f t="shared" si="81"/>
        <v>0</v>
      </c>
      <c r="AI59" s="749" t="b">
        <f t="shared" si="81"/>
        <v>1</v>
      </c>
      <c r="AJ59" s="749" t="b">
        <f t="shared" si="81"/>
        <v>0</v>
      </c>
      <c r="AK59" s="749" t="b">
        <f t="shared" si="81"/>
        <v>1</v>
      </c>
      <c r="AL59" s="749" t="b">
        <f t="shared" si="81"/>
        <v>1</v>
      </c>
      <c r="AM59" s="749" t="b">
        <f t="shared" si="81"/>
        <v>1</v>
      </c>
      <c r="AN59" s="749" t="b">
        <f t="shared" si="81"/>
        <v>0</v>
      </c>
      <c r="AO59" s="749" t="b">
        <f t="shared" si="81"/>
        <v>1</v>
      </c>
      <c r="AP59" s="749" t="b">
        <f t="shared" si="81"/>
        <v>1</v>
      </c>
      <c r="AQ59" s="749" t="b">
        <f t="shared" si="81"/>
        <v>1</v>
      </c>
      <c r="AR59" s="749" t="b">
        <f t="shared" si="81"/>
        <v>1</v>
      </c>
      <c r="AS59" s="749" t="b">
        <f t="shared" si="81"/>
        <v>1</v>
      </c>
      <c r="AT59" s="749" t="b">
        <f t="shared" si="81"/>
        <v>1</v>
      </c>
      <c r="AU59" s="749" t="b">
        <f t="shared" si="81"/>
        <v>1</v>
      </c>
      <c r="AV59" s="749" t="b">
        <f t="shared" si="81"/>
        <v>1</v>
      </c>
      <c r="AW59" s="749" t="b">
        <f t="shared" si="81"/>
        <v>1</v>
      </c>
      <c r="AX59" s="749" t="b">
        <f t="shared" si="81"/>
        <v>0</v>
      </c>
    </row>
    <row r="60" spans="1:60" hidden="1" x14ac:dyDescent="0.35">
      <c r="F60" s="749" t="b">
        <f t="shared" ref="F60:AX60" si="82">F50=F58</f>
        <v>0</v>
      </c>
      <c r="G60" s="749" t="b">
        <f t="shared" si="82"/>
        <v>0</v>
      </c>
      <c r="H60" s="749" t="b">
        <f t="shared" si="82"/>
        <v>0</v>
      </c>
      <c r="I60" s="749" t="b">
        <f t="shared" si="82"/>
        <v>0</v>
      </c>
      <c r="J60" s="749" t="b">
        <f t="shared" si="82"/>
        <v>0</v>
      </c>
      <c r="K60" s="749" t="b">
        <f t="shared" si="82"/>
        <v>0</v>
      </c>
      <c r="L60" s="749" t="b">
        <f t="shared" si="82"/>
        <v>0</v>
      </c>
      <c r="M60" s="749" t="b">
        <f t="shared" si="82"/>
        <v>0</v>
      </c>
      <c r="N60" s="749" t="b">
        <f t="shared" si="82"/>
        <v>0</v>
      </c>
      <c r="O60" s="749" t="b">
        <f t="shared" si="82"/>
        <v>0</v>
      </c>
      <c r="P60" s="749" t="b">
        <f t="shared" si="82"/>
        <v>0</v>
      </c>
      <c r="Q60" s="749" t="b">
        <f t="shared" si="82"/>
        <v>0</v>
      </c>
      <c r="R60" s="749" t="b">
        <f t="shared" si="82"/>
        <v>0</v>
      </c>
      <c r="S60" s="749" t="b">
        <f t="shared" si="82"/>
        <v>0</v>
      </c>
      <c r="T60" s="749" t="b">
        <f t="shared" si="82"/>
        <v>0</v>
      </c>
      <c r="U60" s="749" t="b">
        <f t="shared" si="82"/>
        <v>0</v>
      </c>
      <c r="V60" s="749" t="b">
        <f t="shared" si="82"/>
        <v>0</v>
      </c>
      <c r="W60" s="749" t="b">
        <f t="shared" si="82"/>
        <v>0</v>
      </c>
      <c r="X60" s="749" t="b">
        <f t="shared" si="82"/>
        <v>0</v>
      </c>
      <c r="Y60" s="749" t="b">
        <f t="shared" si="82"/>
        <v>0</v>
      </c>
      <c r="Z60" s="749" t="b">
        <f t="shared" si="82"/>
        <v>0</v>
      </c>
      <c r="AA60" s="749" t="b">
        <f t="shared" si="82"/>
        <v>0</v>
      </c>
      <c r="AB60" s="749" t="b">
        <f t="shared" si="82"/>
        <v>0</v>
      </c>
      <c r="AC60" s="749" t="b">
        <f t="shared" si="82"/>
        <v>0</v>
      </c>
      <c r="AD60" s="749" t="b">
        <f t="shared" si="82"/>
        <v>0</v>
      </c>
      <c r="AE60" s="749" t="b">
        <f t="shared" si="82"/>
        <v>0</v>
      </c>
      <c r="AF60" s="749" t="b">
        <f t="shared" si="82"/>
        <v>0</v>
      </c>
      <c r="AG60" s="749" t="b">
        <f t="shared" si="82"/>
        <v>0</v>
      </c>
      <c r="AH60" s="749" t="b">
        <f t="shared" si="82"/>
        <v>0</v>
      </c>
      <c r="AI60" s="749" t="b">
        <f t="shared" si="82"/>
        <v>0</v>
      </c>
      <c r="AJ60" s="749" t="b">
        <f t="shared" si="82"/>
        <v>0</v>
      </c>
      <c r="AK60" s="749" t="b">
        <f t="shared" si="82"/>
        <v>0</v>
      </c>
      <c r="AL60" s="749" t="b">
        <f t="shared" si="82"/>
        <v>0</v>
      </c>
      <c r="AM60" s="749" t="b">
        <f t="shared" si="82"/>
        <v>0</v>
      </c>
      <c r="AN60" s="749" t="b">
        <f t="shared" si="82"/>
        <v>0</v>
      </c>
      <c r="AO60" s="749" t="b">
        <f t="shared" si="82"/>
        <v>0</v>
      </c>
      <c r="AP60" s="749" t="b">
        <f t="shared" si="82"/>
        <v>0</v>
      </c>
      <c r="AQ60" s="749" t="b">
        <f t="shared" si="82"/>
        <v>0</v>
      </c>
      <c r="AR60" s="749" t="b">
        <f t="shared" si="82"/>
        <v>0</v>
      </c>
      <c r="AS60" s="749" t="b">
        <f t="shared" si="82"/>
        <v>0</v>
      </c>
      <c r="AT60" s="749" t="b">
        <f t="shared" si="82"/>
        <v>0</v>
      </c>
      <c r="AU60" s="749" t="b">
        <f t="shared" si="82"/>
        <v>0</v>
      </c>
      <c r="AV60" s="749" t="b">
        <f t="shared" si="82"/>
        <v>0</v>
      </c>
      <c r="AW60" s="749" t="b">
        <f t="shared" si="82"/>
        <v>0</v>
      </c>
      <c r="AX60" s="749" t="b">
        <f t="shared" si="82"/>
        <v>1</v>
      </c>
    </row>
    <row r="61" spans="1:60" hidden="1" x14ac:dyDescent="0.4">
      <c r="AX61" s="751">
        <f>AX57-AX49</f>
        <v>432.87999999988824</v>
      </c>
    </row>
    <row r="62" spans="1:60" hidden="1" x14ac:dyDescent="0.4"/>
    <row r="66" spans="35:35" x14ac:dyDescent="0.4">
      <c r="AI66" s="749" t="s">
        <v>1378</v>
      </c>
    </row>
  </sheetData>
  <autoFilter ref="A7:BA50"/>
  <mergeCells count="37">
    <mergeCell ref="A2:BH2"/>
    <mergeCell ref="A4:D6"/>
    <mergeCell ref="E4:E7"/>
    <mergeCell ref="F4:BA4"/>
    <mergeCell ref="BC4:BH5"/>
    <mergeCell ref="F5:N5"/>
    <mergeCell ref="O5:Q5"/>
    <mergeCell ref="R5:AG5"/>
    <mergeCell ref="AH5:AN5"/>
    <mergeCell ref="AV5:AW6"/>
    <mergeCell ref="AU6:AU7"/>
    <mergeCell ref="BC6:BE6"/>
    <mergeCell ref="BF6:BH6"/>
    <mergeCell ref="AO6:AR6"/>
    <mergeCell ref="AS6:AT6"/>
    <mergeCell ref="AX5:BA6"/>
    <mergeCell ref="AN6:AN7"/>
    <mergeCell ref="F6:K6"/>
    <mergeCell ref="L6:M6"/>
    <mergeCell ref="O6:O7"/>
    <mergeCell ref="P6:P7"/>
    <mergeCell ref="Q6:Q7"/>
    <mergeCell ref="A37:E38"/>
    <mergeCell ref="A46:E47"/>
    <mergeCell ref="AG6:AG7"/>
    <mergeCell ref="AH6:AJ6"/>
    <mergeCell ref="AK6:AM6"/>
    <mergeCell ref="R6:U6"/>
    <mergeCell ref="V6:Z6"/>
    <mergeCell ref="AA6:AC6"/>
    <mergeCell ref="AD6:AF6"/>
    <mergeCell ref="A24:E25"/>
    <mergeCell ref="A49:E49"/>
    <mergeCell ref="A50:E50"/>
    <mergeCell ref="A53:E53"/>
    <mergeCell ref="A57:D57"/>
    <mergeCell ref="A58:D58"/>
  </mergeCells>
  <conditionalFormatting sqref="E15 E17 E19:E21">
    <cfRule type="containsText" dxfId="30" priority="31" operator="containsText" text="Sin medida">
      <formula>NOT(ISERROR(SEARCH("Sin medida",E15)))</formula>
    </cfRule>
  </conditionalFormatting>
  <conditionalFormatting sqref="E16">
    <cfRule type="containsText" dxfId="29" priority="30" operator="containsText" text="Sin medida">
      <formula>NOT(ISERROR(SEARCH("Sin medida",E16)))</formula>
    </cfRule>
  </conditionalFormatting>
  <conditionalFormatting sqref="E21">
    <cfRule type="containsText" dxfId="28" priority="29" operator="containsText" text="Sin medida">
      <formula>NOT(ISERROR(SEARCH("Sin medida",E21)))</formula>
    </cfRule>
  </conditionalFormatting>
  <conditionalFormatting sqref="E18">
    <cfRule type="containsText" dxfId="27" priority="28" operator="containsText" text="Sin medida">
      <formula>NOT(ISERROR(SEARCH("Sin medida",E18)))</formula>
    </cfRule>
  </conditionalFormatting>
  <conditionalFormatting sqref="E14">
    <cfRule type="containsText" dxfId="26" priority="27" operator="containsText" text="Sin medida">
      <formula>NOT(ISERROR(SEARCH("Sin medida",E14)))</formula>
    </cfRule>
  </conditionalFormatting>
  <conditionalFormatting sqref="E10">
    <cfRule type="containsText" dxfId="25" priority="26" operator="containsText" text="Sin medida">
      <formula>NOT(ISERROR(SEARCH("Sin medida",E10)))</formula>
    </cfRule>
  </conditionalFormatting>
  <conditionalFormatting sqref="E8">
    <cfRule type="containsText" dxfId="24" priority="25" operator="containsText" text="Sin medida">
      <formula>NOT(ISERROR(SEARCH("Sin medida",E8)))</formula>
    </cfRule>
  </conditionalFormatting>
  <conditionalFormatting sqref="E12">
    <cfRule type="containsText" dxfId="23" priority="24" operator="containsText" text="Sin medida">
      <formula>NOT(ISERROR(SEARCH("Sin medida",E12)))</formula>
    </cfRule>
  </conditionalFormatting>
  <conditionalFormatting sqref="E13">
    <cfRule type="containsText" dxfId="22" priority="23" operator="containsText" text="Sin medida">
      <formula>NOT(ISERROR(SEARCH("Sin medida",E13)))</formula>
    </cfRule>
  </conditionalFormatting>
  <conditionalFormatting sqref="E27">
    <cfRule type="containsText" dxfId="21" priority="10" operator="containsText" text="Sin medida">
      <formula>NOT(ISERROR(SEARCH("Sin medida",E27)))</formula>
    </cfRule>
  </conditionalFormatting>
  <conditionalFormatting sqref="E26">
    <cfRule type="containsText" dxfId="20" priority="11" operator="containsText" text="Sin medida">
      <formula>NOT(ISERROR(SEARCH("Sin medida",E26)))</formula>
    </cfRule>
  </conditionalFormatting>
  <conditionalFormatting sqref="E11">
    <cfRule type="containsText" dxfId="19" priority="22" operator="containsText" text="Sin medida">
      <formula>NOT(ISERROR(SEARCH("Sin medida",E11)))</formula>
    </cfRule>
  </conditionalFormatting>
  <conditionalFormatting sqref="E23">
    <cfRule type="containsText" dxfId="18" priority="21" operator="containsText" text="Sin medida">
      <formula>NOT(ISERROR(SEARCH("Sin medida",E23)))</formula>
    </cfRule>
  </conditionalFormatting>
  <conditionalFormatting sqref="E22">
    <cfRule type="containsText" dxfId="17" priority="20" operator="containsText" text="Sin medida">
      <formula>NOT(ISERROR(SEARCH("Sin medida",E22)))</formula>
    </cfRule>
  </conditionalFormatting>
  <conditionalFormatting sqref="E22">
    <cfRule type="containsText" dxfId="16" priority="19" operator="containsText" text="Sin medida">
      <formula>NOT(ISERROR(SEARCH("Sin medida",E22)))</formula>
    </cfRule>
  </conditionalFormatting>
  <conditionalFormatting sqref="E39">
    <cfRule type="containsText" dxfId="15" priority="18" operator="containsText" text="Sin medida">
      <formula>NOT(ISERROR(SEARCH("Sin medida",E39)))</formula>
    </cfRule>
  </conditionalFormatting>
  <conditionalFormatting sqref="E40">
    <cfRule type="containsText" dxfId="14" priority="17" operator="containsText" text="Sin medida">
      <formula>NOT(ISERROR(SEARCH("Sin medida",E40)))</formula>
    </cfRule>
  </conditionalFormatting>
  <conditionalFormatting sqref="E41">
    <cfRule type="containsText" dxfId="13" priority="16" operator="containsText" text="Sin medida">
      <formula>NOT(ISERROR(SEARCH("Sin medida",E41)))</formula>
    </cfRule>
  </conditionalFormatting>
  <conditionalFormatting sqref="E42">
    <cfRule type="containsText" dxfId="12" priority="15" operator="containsText" text="Sin medida">
      <formula>NOT(ISERROR(SEARCH("Sin medida",E42)))</formula>
    </cfRule>
  </conditionalFormatting>
  <conditionalFormatting sqref="E43">
    <cfRule type="containsText" dxfId="11" priority="14" operator="containsText" text="Sin medida">
      <formula>NOT(ISERROR(SEARCH("Sin medida",E43)))</formula>
    </cfRule>
  </conditionalFormatting>
  <conditionalFormatting sqref="E44">
    <cfRule type="containsText" dxfId="10" priority="13" operator="containsText" text="Sin medida">
      <formula>NOT(ISERROR(SEARCH("Sin medida",E44)))</formula>
    </cfRule>
  </conditionalFormatting>
  <conditionalFormatting sqref="E45">
    <cfRule type="containsText" dxfId="9" priority="12" operator="containsText" text="Sin medida">
      <formula>NOT(ISERROR(SEARCH("Sin medida",E45)))</formula>
    </cfRule>
  </conditionalFormatting>
  <conditionalFormatting sqref="E28">
    <cfRule type="containsText" dxfId="8" priority="9" operator="containsText" text="Sin medida">
      <formula>NOT(ISERROR(SEARCH("Sin medida",E28)))</formula>
    </cfRule>
  </conditionalFormatting>
  <conditionalFormatting sqref="E29">
    <cfRule type="containsText" dxfId="7" priority="8" operator="containsText" text="Sin medida">
      <formula>NOT(ISERROR(SEARCH("Sin medida",E29)))</formula>
    </cfRule>
  </conditionalFormatting>
  <conditionalFormatting sqref="E30">
    <cfRule type="containsText" dxfId="6" priority="7" operator="containsText" text="Sin medida">
      <formula>NOT(ISERROR(SEARCH("Sin medida",E30)))</formula>
    </cfRule>
  </conditionalFormatting>
  <conditionalFormatting sqref="E31">
    <cfRule type="containsText" dxfId="5" priority="6" operator="containsText" text="Sin medida">
      <formula>NOT(ISERROR(SEARCH("Sin medida",E31)))</formula>
    </cfRule>
  </conditionalFormatting>
  <conditionalFormatting sqref="E32">
    <cfRule type="containsText" dxfId="4" priority="5" operator="containsText" text="Sin medida">
      <formula>NOT(ISERROR(SEARCH("Sin medida",E32)))</formula>
    </cfRule>
  </conditionalFormatting>
  <conditionalFormatting sqref="E33">
    <cfRule type="containsText" dxfId="3" priority="4" operator="containsText" text="Sin medida">
      <formula>NOT(ISERROR(SEARCH("Sin medida",E33)))</formula>
    </cfRule>
  </conditionalFormatting>
  <conditionalFormatting sqref="E34">
    <cfRule type="containsText" dxfId="2" priority="3" operator="containsText" text="Sin medida">
      <formula>NOT(ISERROR(SEARCH("Sin medida",E34)))</formula>
    </cfRule>
  </conditionalFormatting>
  <conditionalFormatting sqref="E35">
    <cfRule type="containsText" dxfId="1" priority="2" operator="containsText" text="Sin medida">
      <formula>NOT(ISERROR(SEARCH("Sin medida",E35)))</formula>
    </cfRule>
  </conditionalFormatting>
  <conditionalFormatting sqref="E36">
    <cfRule type="containsText" dxfId="0" priority="1" operator="containsText" text="Sin medida">
      <formula>NOT(ISERROR(SEARCH("Sin medida",E36)))</formula>
    </cfRule>
  </conditionalFormatting>
  <pageMargins left="0.78740157480314965" right="0" top="1.1811023622047245" bottom="0" header="0" footer="0"/>
  <pageSetup paperSize="8" scale="13" orientation="landscape"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sheetPr>
  <dimension ref="B1:I16"/>
  <sheetViews>
    <sheetView workbookViewId="0">
      <selection activeCell="B1" sqref="B1:I1"/>
    </sheetView>
  </sheetViews>
  <sheetFormatPr defaultColWidth="9.08984375" defaultRowHeight="14.5" x14ac:dyDescent="0.35"/>
  <cols>
    <col min="1" max="1" width="3.08984375" style="884" customWidth="1"/>
    <col min="2" max="2" width="12.90625" style="884" customWidth="1"/>
    <col min="3" max="3" width="11.6328125" style="884" customWidth="1"/>
    <col min="4" max="4" width="12.6328125" style="884" customWidth="1"/>
    <col min="5" max="5" width="19.54296875" style="884" customWidth="1"/>
    <col min="6" max="6" width="17.08984375" style="884" customWidth="1"/>
    <col min="7" max="7" width="14" style="884" customWidth="1"/>
    <col min="8" max="8" width="59.08984375" style="884" customWidth="1"/>
    <col min="9" max="9" width="19.90625" style="884" customWidth="1"/>
    <col min="10" max="16384" width="9.08984375" style="884"/>
  </cols>
  <sheetData>
    <row r="1" spans="2:9" ht="24" customHeight="1" x14ac:dyDescent="0.35">
      <c r="B1" s="1500" t="s">
        <v>1505</v>
      </c>
      <c r="C1" s="1500"/>
      <c r="D1" s="1500"/>
      <c r="E1" s="1500"/>
      <c r="F1" s="1500"/>
      <c r="G1" s="1500"/>
      <c r="H1" s="1500"/>
      <c r="I1" s="1500"/>
    </row>
    <row r="2" spans="2:9" ht="18" customHeight="1" x14ac:dyDescent="0.35">
      <c r="B2" s="1501" t="s">
        <v>1168</v>
      </c>
      <c r="C2" s="1503" t="s">
        <v>1445</v>
      </c>
      <c r="D2" s="1505" t="s">
        <v>1171</v>
      </c>
      <c r="E2" s="1507" t="s">
        <v>1444</v>
      </c>
      <c r="F2" s="1507" t="s">
        <v>1504</v>
      </c>
      <c r="G2" s="1505" t="s">
        <v>1503</v>
      </c>
      <c r="H2" s="1505" t="s">
        <v>1502</v>
      </c>
      <c r="I2" s="1509" t="s">
        <v>1501</v>
      </c>
    </row>
    <row r="3" spans="2:9" ht="18" customHeight="1" x14ac:dyDescent="0.35">
      <c r="B3" s="1502"/>
      <c r="C3" s="1504"/>
      <c r="D3" s="1506"/>
      <c r="E3" s="1508"/>
      <c r="F3" s="1508"/>
      <c r="G3" s="1506"/>
      <c r="H3" s="1506"/>
      <c r="I3" s="1510"/>
    </row>
    <row r="4" spans="2:9" ht="18" customHeight="1" x14ac:dyDescent="0.35">
      <c r="B4" s="1496" t="s">
        <v>1500</v>
      </c>
      <c r="C4" s="1498" t="s">
        <v>1077</v>
      </c>
      <c r="D4" s="894" t="s">
        <v>1067</v>
      </c>
      <c r="E4" s="894" t="s">
        <v>1089</v>
      </c>
      <c r="F4" s="893" t="s">
        <v>1499</v>
      </c>
      <c r="G4" s="892">
        <v>150</v>
      </c>
      <c r="H4" s="891" t="s">
        <v>1498</v>
      </c>
      <c r="I4" s="886" t="s">
        <v>1476</v>
      </c>
    </row>
    <row r="5" spans="2:9" ht="18" customHeight="1" x14ac:dyDescent="0.35">
      <c r="B5" s="1496"/>
      <c r="C5" s="1498"/>
      <c r="D5" s="894" t="s">
        <v>1067</v>
      </c>
      <c r="E5" s="894" t="s">
        <v>1087</v>
      </c>
      <c r="F5" s="893" t="s">
        <v>1497</v>
      </c>
      <c r="G5" s="892">
        <v>104</v>
      </c>
      <c r="H5" s="895" t="s">
        <v>1480</v>
      </c>
      <c r="I5" s="886" t="s">
        <v>1476</v>
      </c>
    </row>
    <row r="6" spans="2:9" ht="18" customHeight="1" x14ac:dyDescent="0.35">
      <c r="B6" s="1496"/>
      <c r="C6" s="1498"/>
      <c r="D6" s="894" t="s">
        <v>1067</v>
      </c>
      <c r="E6" s="894" t="s">
        <v>1085</v>
      </c>
      <c r="F6" s="893" t="s">
        <v>1496</v>
      </c>
      <c r="G6" s="892">
        <v>127</v>
      </c>
      <c r="H6" s="891" t="s">
        <v>1495</v>
      </c>
      <c r="I6" s="886" t="s">
        <v>1476</v>
      </c>
    </row>
    <row r="7" spans="2:9" ht="18" customHeight="1" x14ac:dyDescent="0.35">
      <c r="B7" s="1496"/>
      <c r="C7" s="1498"/>
      <c r="D7" s="894" t="s">
        <v>1067</v>
      </c>
      <c r="E7" s="894" t="s">
        <v>1083</v>
      </c>
      <c r="F7" s="893" t="s">
        <v>1494</v>
      </c>
      <c r="G7" s="892">
        <v>82</v>
      </c>
      <c r="H7" s="891" t="s">
        <v>1493</v>
      </c>
      <c r="I7" s="886" t="s">
        <v>1476</v>
      </c>
    </row>
    <row r="8" spans="2:9" ht="18" customHeight="1" x14ac:dyDescent="0.35">
      <c r="B8" s="1496"/>
      <c r="C8" s="1498"/>
      <c r="D8" s="894" t="s">
        <v>1067</v>
      </c>
      <c r="E8" s="894" t="s">
        <v>1081</v>
      </c>
      <c r="F8" s="893" t="s">
        <v>1492</v>
      </c>
      <c r="G8" s="892">
        <v>94</v>
      </c>
      <c r="H8" s="891" t="s">
        <v>1491</v>
      </c>
      <c r="I8" s="886" t="s">
        <v>1476</v>
      </c>
    </row>
    <row r="9" spans="2:9" ht="18" customHeight="1" x14ac:dyDescent="0.35">
      <c r="B9" s="1496"/>
      <c r="C9" s="1498"/>
      <c r="D9" s="894" t="s">
        <v>1067</v>
      </c>
      <c r="E9" s="894" t="s">
        <v>1079</v>
      </c>
      <c r="F9" s="893" t="s">
        <v>1490</v>
      </c>
      <c r="G9" s="892">
        <v>106</v>
      </c>
      <c r="H9" s="891" t="s">
        <v>1489</v>
      </c>
      <c r="I9" s="886" t="s">
        <v>1476</v>
      </c>
    </row>
    <row r="10" spans="2:9" ht="18" customHeight="1" x14ac:dyDescent="0.35">
      <c r="B10" s="1496"/>
      <c r="C10" s="1498"/>
      <c r="D10" s="894" t="s">
        <v>1067</v>
      </c>
      <c r="E10" s="894" t="s">
        <v>1077</v>
      </c>
      <c r="F10" s="893" t="s">
        <v>1488</v>
      </c>
      <c r="G10" s="892">
        <v>39</v>
      </c>
      <c r="H10" s="891" t="s">
        <v>1487</v>
      </c>
      <c r="I10" s="886" t="s">
        <v>1476</v>
      </c>
    </row>
    <row r="11" spans="2:9" ht="18" customHeight="1" x14ac:dyDescent="0.35">
      <c r="B11" s="1496"/>
      <c r="C11" s="1498"/>
      <c r="D11" s="894" t="s">
        <v>1067</v>
      </c>
      <c r="E11" s="894" t="s">
        <v>1076</v>
      </c>
      <c r="F11" s="893" t="s">
        <v>1486</v>
      </c>
      <c r="G11" s="892">
        <v>102</v>
      </c>
      <c r="H11" s="891" t="s">
        <v>1485</v>
      </c>
      <c r="I11" s="886" t="s">
        <v>1476</v>
      </c>
    </row>
    <row r="12" spans="2:9" ht="18" customHeight="1" x14ac:dyDescent="0.35">
      <c r="B12" s="1496"/>
      <c r="C12" s="1498" t="s">
        <v>1484</v>
      </c>
      <c r="D12" s="894" t="s">
        <v>1067</v>
      </c>
      <c r="E12" s="894" t="s">
        <v>1074</v>
      </c>
      <c r="F12" s="893" t="s">
        <v>1483</v>
      </c>
      <c r="G12" s="892">
        <v>93</v>
      </c>
      <c r="H12" s="891" t="s">
        <v>1482</v>
      </c>
      <c r="I12" s="886" t="s">
        <v>1476</v>
      </c>
    </row>
    <row r="13" spans="2:9" ht="18" customHeight="1" x14ac:dyDescent="0.35">
      <c r="B13" s="1496"/>
      <c r="C13" s="1498"/>
      <c r="D13" s="894" t="s">
        <v>1067</v>
      </c>
      <c r="E13" s="894" t="s">
        <v>1071</v>
      </c>
      <c r="F13" s="893" t="s">
        <v>1481</v>
      </c>
      <c r="G13" s="892">
        <v>44</v>
      </c>
      <c r="H13" s="891" t="s">
        <v>1480</v>
      </c>
      <c r="I13" s="886" t="s">
        <v>1476</v>
      </c>
    </row>
    <row r="14" spans="2:9" ht="18" customHeight="1" x14ac:dyDescent="0.35">
      <c r="B14" s="1496"/>
      <c r="C14" s="1498"/>
      <c r="D14" s="894" t="s">
        <v>1067</v>
      </c>
      <c r="E14" s="894" t="s">
        <v>1068</v>
      </c>
      <c r="F14" s="893" t="s">
        <v>1479</v>
      </c>
      <c r="G14" s="892">
        <v>50</v>
      </c>
      <c r="H14" s="891" t="s">
        <v>1477</v>
      </c>
      <c r="I14" s="886" t="s">
        <v>1476</v>
      </c>
    </row>
    <row r="15" spans="2:9" ht="18" customHeight="1" thickBot="1" x14ac:dyDescent="0.4">
      <c r="B15" s="1497"/>
      <c r="C15" s="1499"/>
      <c r="D15" s="890" t="s">
        <v>1067</v>
      </c>
      <c r="E15" s="890" t="s">
        <v>1069</v>
      </c>
      <c r="F15" s="889" t="s">
        <v>1478</v>
      </c>
      <c r="G15" s="888">
        <v>66</v>
      </c>
      <c r="H15" s="887" t="s">
        <v>1477</v>
      </c>
      <c r="I15" s="886" t="s">
        <v>1476</v>
      </c>
    </row>
    <row r="16" spans="2:9" x14ac:dyDescent="0.35">
      <c r="G16" s="885">
        <f>SUM(G4:G15)</f>
        <v>1057</v>
      </c>
    </row>
  </sheetData>
  <mergeCells count="12">
    <mergeCell ref="B4:B15"/>
    <mergeCell ref="C4:C11"/>
    <mergeCell ref="C12:C15"/>
    <mergeCell ref="B1:I1"/>
    <mergeCell ref="B2:B3"/>
    <mergeCell ref="C2:C3"/>
    <mergeCell ref="D2:D3"/>
    <mergeCell ref="E2:E3"/>
    <mergeCell ref="F2:F3"/>
    <mergeCell ref="G2:G3"/>
    <mergeCell ref="H2:H3"/>
    <mergeCell ref="I2:I3"/>
  </mergeCells>
  <pageMargins left="0.7" right="0.7" top="0.75" bottom="0.75" header="0.3" footer="0.3"/>
  <pageSetup paperSize="9" orientation="portrait" horizontalDpi="4294967292"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A111"/>
  <sheetViews>
    <sheetView zoomScale="110" zoomScaleNormal="110" workbookViewId="0"/>
  </sheetViews>
  <sheetFormatPr defaultColWidth="9.08984375" defaultRowHeight="14.5" x14ac:dyDescent="0.35"/>
  <cols>
    <col min="1" max="1" width="110.54296875" customWidth="1"/>
  </cols>
  <sheetData>
    <row r="1" spans="1:1" ht="15" x14ac:dyDescent="0.35">
      <c r="A1" s="450" t="s">
        <v>960</v>
      </c>
    </row>
    <row r="2" spans="1:1" ht="30" x14ac:dyDescent="0.35">
      <c r="A2" s="450" t="s">
        <v>961</v>
      </c>
    </row>
    <row r="3" spans="1:1" ht="15" x14ac:dyDescent="0.35">
      <c r="A3" s="452"/>
    </row>
    <row r="4" spans="1:1" ht="15" x14ac:dyDescent="0.35">
      <c r="A4" s="453" t="s">
        <v>962</v>
      </c>
    </row>
    <row r="5" spans="1:1" ht="15" x14ac:dyDescent="0.35">
      <c r="A5" s="453" t="s">
        <v>963</v>
      </c>
    </row>
    <row r="6" spans="1:1" x14ac:dyDescent="0.35">
      <c r="A6" s="448" t="s">
        <v>85</v>
      </c>
    </row>
    <row r="7" spans="1:1" ht="15" x14ac:dyDescent="0.35">
      <c r="A7" s="451"/>
    </row>
    <row r="8" spans="1:1" ht="15" x14ac:dyDescent="0.35">
      <c r="A8" s="452" t="s">
        <v>964</v>
      </c>
    </row>
    <row r="9" spans="1:1" ht="15" x14ac:dyDescent="0.35">
      <c r="A9" s="452"/>
    </row>
    <row r="10" spans="1:1" ht="90" x14ac:dyDescent="0.35">
      <c r="A10" s="451" t="s">
        <v>1033</v>
      </c>
    </row>
    <row r="11" spans="1:1" ht="15" x14ac:dyDescent="0.35">
      <c r="A11" s="451"/>
    </row>
    <row r="12" spans="1:1" ht="60" x14ac:dyDescent="0.35">
      <c r="A12" s="451" t="s">
        <v>965</v>
      </c>
    </row>
    <row r="13" spans="1:1" ht="15" x14ac:dyDescent="0.35">
      <c r="A13" s="451"/>
    </row>
    <row r="14" spans="1:1" ht="75" x14ac:dyDescent="0.35">
      <c r="A14" s="451" t="s">
        <v>966</v>
      </c>
    </row>
    <row r="15" spans="1:1" ht="15" x14ac:dyDescent="0.35">
      <c r="A15" s="451"/>
    </row>
    <row r="16" spans="1:1" ht="60" x14ac:dyDescent="0.35">
      <c r="A16" s="451" t="s">
        <v>967</v>
      </c>
    </row>
    <row r="17" spans="1:1" ht="15" x14ac:dyDescent="0.35">
      <c r="A17" s="451"/>
    </row>
    <row r="18" spans="1:1" ht="15" x14ac:dyDescent="0.35">
      <c r="A18" s="452" t="s">
        <v>968</v>
      </c>
    </row>
    <row r="19" spans="1:1" ht="15" x14ac:dyDescent="0.35">
      <c r="A19" s="452"/>
    </row>
    <row r="20" spans="1:1" ht="60" x14ac:dyDescent="0.35">
      <c r="A20" s="451" t="s">
        <v>969</v>
      </c>
    </row>
    <row r="21" spans="1:1" ht="15" x14ac:dyDescent="0.35">
      <c r="A21" s="451"/>
    </row>
    <row r="22" spans="1:1" ht="45" x14ac:dyDescent="0.35">
      <c r="A22" s="451" t="s">
        <v>970</v>
      </c>
    </row>
    <row r="23" spans="1:1" ht="15" x14ac:dyDescent="0.35">
      <c r="A23" s="451"/>
    </row>
    <row r="24" spans="1:1" ht="60" x14ac:dyDescent="0.35">
      <c r="A24" s="451" t="s">
        <v>971</v>
      </c>
    </row>
    <row r="25" spans="1:1" ht="15" x14ac:dyDescent="0.35">
      <c r="A25" s="451"/>
    </row>
    <row r="26" spans="1:1" ht="60" x14ac:dyDescent="0.35">
      <c r="A26" s="451" t="s">
        <v>972</v>
      </c>
    </row>
    <row r="27" spans="1:1" ht="15" x14ac:dyDescent="0.35">
      <c r="A27" s="451"/>
    </row>
    <row r="28" spans="1:1" ht="90" x14ac:dyDescent="0.35">
      <c r="A28" s="451" t="s">
        <v>973</v>
      </c>
    </row>
    <row r="29" spans="1:1" ht="15" x14ac:dyDescent="0.35">
      <c r="A29" s="451"/>
    </row>
    <row r="30" spans="1:1" ht="105" x14ac:dyDescent="0.35">
      <c r="A30" s="451" t="s">
        <v>974</v>
      </c>
    </row>
    <row r="31" spans="1:1" ht="15" x14ac:dyDescent="0.35">
      <c r="A31" s="451"/>
    </row>
    <row r="32" spans="1:1" ht="45" x14ac:dyDescent="0.35">
      <c r="A32" s="451" t="s">
        <v>975</v>
      </c>
    </row>
    <row r="33" spans="1:1" ht="15" x14ac:dyDescent="0.35">
      <c r="A33" s="451"/>
    </row>
    <row r="34" spans="1:1" ht="15" x14ac:dyDescent="0.35">
      <c r="A34" s="452" t="s">
        <v>976</v>
      </c>
    </row>
    <row r="35" spans="1:1" ht="15" x14ac:dyDescent="0.35">
      <c r="A35" s="452"/>
    </row>
    <row r="36" spans="1:1" ht="90" x14ac:dyDescent="0.35">
      <c r="A36" s="451" t="s">
        <v>977</v>
      </c>
    </row>
    <row r="37" spans="1:1" ht="15" x14ac:dyDescent="0.35">
      <c r="A37" s="451"/>
    </row>
    <row r="38" spans="1:1" ht="15" x14ac:dyDescent="0.35">
      <c r="A38" s="451" t="s">
        <v>978</v>
      </c>
    </row>
    <row r="39" spans="1:1" ht="15" x14ac:dyDescent="0.35">
      <c r="A39" s="451" t="s">
        <v>979</v>
      </c>
    </row>
    <row r="40" spans="1:1" ht="30" x14ac:dyDescent="0.35">
      <c r="A40" s="451" t="s">
        <v>980</v>
      </c>
    </row>
    <row r="41" spans="1:1" ht="30" x14ac:dyDescent="0.35">
      <c r="A41" s="451" t="s">
        <v>981</v>
      </c>
    </row>
    <row r="42" spans="1:1" ht="30" x14ac:dyDescent="0.35">
      <c r="A42" s="451" t="s">
        <v>982</v>
      </c>
    </row>
    <row r="43" spans="1:1" ht="30" x14ac:dyDescent="0.35">
      <c r="A43" s="451" t="s">
        <v>983</v>
      </c>
    </row>
    <row r="44" spans="1:1" ht="30" x14ac:dyDescent="0.35">
      <c r="A44" s="451" t="s">
        <v>984</v>
      </c>
    </row>
    <row r="45" spans="1:1" ht="15" x14ac:dyDescent="0.35">
      <c r="A45" s="451" t="s">
        <v>985</v>
      </c>
    </row>
    <row r="46" spans="1:1" ht="30" x14ac:dyDescent="0.35">
      <c r="A46" s="451" t="s">
        <v>986</v>
      </c>
    </row>
    <row r="47" spans="1:1" ht="15" x14ac:dyDescent="0.35">
      <c r="A47" s="451"/>
    </row>
    <row r="48" spans="1:1" ht="15" x14ac:dyDescent="0.35">
      <c r="A48" s="451"/>
    </row>
    <row r="49" spans="1:1" ht="15" x14ac:dyDescent="0.35">
      <c r="A49" s="451"/>
    </row>
    <row r="50" spans="1:1" ht="15" x14ac:dyDescent="0.35">
      <c r="A50" s="451" t="s">
        <v>987</v>
      </c>
    </row>
    <row r="51" spans="1:1" ht="15" x14ac:dyDescent="0.35">
      <c r="A51" s="451"/>
    </row>
    <row r="52" spans="1:1" ht="15" x14ac:dyDescent="0.35">
      <c r="A52" s="452" t="s">
        <v>988</v>
      </c>
    </row>
    <row r="53" spans="1:1" ht="15" x14ac:dyDescent="0.35">
      <c r="A53" s="452"/>
    </row>
    <row r="54" spans="1:1" ht="30" x14ac:dyDescent="0.35">
      <c r="A54" s="452" t="s">
        <v>989</v>
      </c>
    </row>
    <row r="55" spans="1:1" ht="15" x14ac:dyDescent="0.35">
      <c r="A55" s="452"/>
    </row>
    <row r="56" spans="1:1" ht="45" x14ac:dyDescent="0.35">
      <c r="A56" s="451" t="s">
        <v>990</v>
      </c>
    </row>
    <row r="57" spans="1:1" ht="15" x14ac:dyDescent="0.35">
      <c r="A57" s="451"/>
    </row>
    <row r="58" spans="1:1" ht="30" x14ac:dyDescent="0.35">
      <c r="A58" s="451" t="s">
        <v>991</v>
      </c>
    </row>
    <row r="59" spans="1:1" ht="45" x14ac:dyDescent="0.35">
      <c r="A59" s="451" t="s">
        <v>992</v>
      </c>
    </row>
    <row r="60" spans="1:1" ht="30" x14ac:dyDescent="0.35">
      <c r="A60" s="451" t="s">
        <v>993</v>
      </c>
    </row>
    <row r="61" spans="1:1" ht="15" x14ac:dyDescent="0.35">
      <c r="A61" s="451"/>
    </row>
    <row r="62" spans="1:1" ht="30" x14ac:dyDescent="0.35">
      <c r="A62" s="452" t="s">
        <v>994</v>
      </c>
    </row>
    <row r="63" spans="1:1" ht="15" x14ac:dyDescent="0.35">
      <c r="A63" s="452"/>
    </row>
    <row r="64" spans="1:1" ht="60" x14ac:dyDescent="0.35">
      <c r="A64" s="451" t="s">
        <v>995</v>
      </c>
    </row>
    <row r="65" spans="1:1" ht="15" x14ac:dyDescent="0.35">
      <c r="A65" s="451"/>
    </row>
    <row r="66" spans="1:1" ht="60" x14ac:dyDescent="0.35">
      <c r="A66" s="451" t="s">
        <v>996</v>
      </c>
    </row>
    <row r="67" spans="1:1" ht="15" x14ac:dyDescent="0.35">
      <c r="A67" s="451"/>
    </row>
    <row r="68" spans="1:1" ht="75" x14ac:dyDescent="0.35">
      <c r="A68" s="451" t="s">
        <v>997</v>
      </c>
    </row>
    <row r="69" spans="1:1" ht="15" x14ac:dyDescent="0.35">
      <c r="A69" s="451"/>
    </row>
    <row r="70" spans="1:1" ht="30" x14ac:dyDescent="0.35">
      <c r="A70" s="452" t="s">
        <v>998</v>
      </c>
    </row>
    <row r="71" spans="1:1" ht="15" x14ac:dyDescent="0.35">
      <c r="A71" s="452"/>
    </row>
    <row r="72" spans="1:1" ht="45" x14ac:dyDescent="0.35">
      <c r="A72" s="451" t="s">
        <v>999</v>
      </c>
    </row>
    <row r="73" spans="1:1" ht="15" x14ac:dyDescent="0.35">
      <c r="A73" s="451"/>
    </row>
    <row r="74" spans="1:1" ht="90" x14ac:dyDescent="0.35">
      <c r="A74" s="451" t="s">
        <v>1000</v>
      </c>
    </row>
    <row r="75" spans="1:1" ht="15" x14ac:dyDescent="0.35">
      <c r="A75" s="451"/>
    </row>
    <row r="76" spans="1:1" ht="30" x14ac:dyDescent="0.35">
      <c r="A76" s="452" t="s">
        <v>1001</v>
      </c>
    </row>
    <row r="77" spans="1:1" ht="15" x14ac:dyDescent="0.35">
      <c r="A77" s="452"/>
    </row>
    <row r="78" spans="1:1" ht="30" x14ac:dyDescent="0.35">
      <c r="A78" s="452" t="s">
        <v>1002</v>
      </c>
    </row>
    <row r="79" spans="1:1" ht="15" x14ac:dyDescent="0.35">
      <c r="A79" s="452"/>
    </row>
    <row r="80" spans="1:1" ht="45" x14ac:dyDescent="0.35">
      <c r="A80" s="451" t="s">
        <v>1003</v>
      </c>
    </row>
    <row r="81" spans="1:1" ht="15" x14ac:dyDescent="0.35">
      <c r="A81" s="451"/>
    </row>
    <row r="82" spans="1:1" ht="30" x14ac:dyDescent="0.35">
      <c r="A82" s="451" t="s">
        <v>1004</v>
      </c>
    </row>
    <row r="83" spans="1:1" ht="15" x14ac:dyDescent="0.35">
      <c r="A83" s="451"/>
    </row>
    <row r="84" spans="1:1" ht="30" x14ac:dyDescent="0.35">
      <c r="A84" s="451" t="s">
        <v>1005</v>
      </c>
    </row>
    <row r="85" spans="1:1" ht="15" x14ac:dyDescent="0.35">
      <c r="A85" s="451"/>
    </row>
    <row r="86" spans="1:1" ht="30" x14ac:dyDescent="0.35">
      <c r="A86" s="452" t="s">
        <v>1006</v>
      </c>
    </row>
    <row r="87" spans="1:1" ht="15" x14ac:dyDescent="0.35">
      <c r="A87" s="452"/>
    </row>
    <row r="88" spans="1:1" ht="30" x14ac:dyDescent="0.35">
      <c r="A88" s="451" t="s">
        <v>1007</v>
      </c>
    </row>
    <row r="89" spans="1:1" ht="15" x14ac:dyDescent="0.35">
      <c r="A89" s="451"/>
    </row>
    <row r="90" spans="1:1" ht="30" x14ac:dyDescent="0.35">
      <c r="A90" s="451" t="s">
        <v>1008</v>
      </c>
    </row>
    <row r="91" spans="1:1" ht="15" x14ac:dyDescent="0.35">
      <c r="A91" s="451" t="s">
        <v>1009</v>
      </c>
    </row>
    <row r="92" spans="1:1" ht="15" x14ac:dyDescent="0.35">
      <c r="A92" s="451" t="s">
        <v>1010</v>
      </c>
    </row>
    <row r="93" spans="1:1" ht="30" x14ac:dyDescent="0.35">
      <c r="A93" s="451" t="s">
        <v>1011</v>
      </c>
    </row>
    <row r="94" spans="1:1" ht="30" x14ac:dyDescent="0.35">
      <c r="A94" s="451" t="s">
        <v>1012</v>
      </c>
    </row>
    <row r="95" spans="1:1" ht="15" x14ac:dyDescent="0.35">
      <c r="A95" s="451"/>
    </row>
    <row r="96" spans="1:1" ht="15" x14ac:dyDescent="0.35">
      <c r="A96" s="452" t="s">
        <v>1013</v>
      </c>
    </row>
    <row r="97" spans="1:1" ht="15" x14ac:dyDescent="0.35">
      <c r="A97" s="452"/>
    </row>
    <row r="98" spans="1:1" ht="90" x14ac:dyDescent="0.35">
      <c r="A98" s="451" t="s">
        <v>1014</v>
      </c>
    </row>
    <row r="99" spans="1:1" ht="15" x14ac:dyDescent="0.35">
      <c r="A99" s="451"/>
    </row>
    <row r="100" spans="1:1" ht="30" x14ac:dyDescent="0.35">
      <c r="A100" s="452" t="s">
        <v>1015</v>
      </c>
    </row>
    <row r="101" spans="1:1" ht="15" x14ac:dyDescent="0.35">
      <c r="A101" s="452"/>
    </row>
    <row r="102" spans="1:1" ht="90" x14ac:dyDescent="0.35">
      <c r="A102" s="451" t="s">
        <v>1016</v>
      </c>
    </row>
    <row r="103" spans="1:1" ht="15" x14ac:dyDescent="0.35">
      <c r="A103" s="451"/>
    </row>
    <row r="104" spans="1:1" ht="15" x14ac:dyDescent="0.35">
      <c r="A104" s="452" t="s">
        <v>1017</v>
      </c>
    </row>
    <row r="105" spans="1:1" ht="15" x14ac:dyDescent="0.35">
      <c r="A105" s="452"/>
    </row>
    <row r="106" spans="1:1" ht="150" x14ac:dyDescent="0.35">
      <c r="A106" s="451" t="s">
        <v>1062</v>
      </c>
    </row>
    <row r="107" spans="1:1" ht="15" x14ac:dyDescent="0.35">
      <c r="A107" s="451"/>
    </row>
    <row r="108" spans="1:1" ht="15" x14ac:dyDescent="0.35">
      <c r="A108" s="451"/>
    </row>
    <row r="109" spans="1:1" ht="15" x14ac:dyDescent="0.35">
      <c r="A109" s="451"/>
    </row>
    <row r="110" spans="1:1" ht="30" x14ac:dyDescent="0.35">
      <c r="A110" s="451" t="s">
        <v>1018</v>
      </c>
    </row>
    <row r="111" spans="1:1" x14ac:dyDescent="0.35">
      <c r="A111" s="449" t="s">
        <v>1019</v>
      </c>
    </row>
  </sheetData>
  <hyperlinks>
    <hyperlink ref="A6" r:id="rId1" display="mailto:julio.rojas@ambiente.gob.ec"/>
    <hyperlink ref="A111" r:id="rId2" location="'Anexo GENERO'!A28" display="CARMEN_y_JAVIER_Nov_24_19h30_PPR_Ecuador_2017_Venglish.xlsx - 'Anexo GENERO'!A28"/>
  </hyperlinks>
  <pageMargins left="0.7" right="0.7" top="0.75" bottom="0.75" header="0.3" footer="0.3"/>
  <pageSetup orientation="portrait"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sheetPr>
  <dimension ref="A1"/>
  <sheetViews>
    <sheetView zoomScale="80" zoomScaleNormal="80" workbookViewId="0"/>
  </sheetViews>
  <sheetFormatPr defaultColWidth="11.453125" defaultRowHeight="14.5" x14ac:dyDescent="0.35"/>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BB14"/>
  <sheetViews>
    <sheetView zoomScale="70" zoomScaleNormal="70" workbookViewId="0">
      <selection sqref="A1:A4"/>
    </sheetView>
  </sheetViews>
  <sheetFormatPr defaultColWidth="11.453125" defaultRowHeight="14.5" x14ac:dyDescent="0.35"/>
  <cols>
    <col min="1" max="1" width="64.453125" customWidth="1"/>
    <col min="2" max="2" width="3.54296875" customWidth="1"/>
    <col min="3" max="3" width="5.08984375" customWidth="1"/>
    <col min="4" max="5" width="3.54296875" customWidth="1"/>
    <col min="6" max="6" width="3.6328125" bestFit="1" customWidth="1"/>
    <col min="7" max="7" width="4.90625" customWidth="1"/>
    <col min="8" max="8" width="3.6328125" bestFit="1" customWidth="1"/>
    <col min="9" max="9" width="3.6328125" customWidth="1"/>
    <col min="10" max="10" width="5.453125" customWidth="1"/>
    <col min="11" max="11" width="4.08984375" customWidth="1"/>
    <col min="12" max="12" width="5.453125" customWidth="1"/>
    <col min="13" max="13" width="5.90625" customWidth="1"/>
    <col min="14" max="17" width="3.6328125" customWidth="1"/>
    <col min="18" max="18" width="5.6328125" customWidth="1"/>
    <col min="19" max="20" width="5.36328125" customWidth="1"/>
    <col min="21" max="21" width="5.08984375" customWidth="1"/>
    <col min="22" max="22" width="6" customWidth="1"/>
    <col min="23" max="23" width="3.6328125" customWidth="1"/>
    <col min="24" max="25" width="3.6328125" bestFit="1" customWidth="1"/>
    <col min="26" max="27" width="3.6328125" customWidth="1"/>
    <col min="28" max="28" width="3.6328125" bestFit="1" customWidth="1"/>
    <col min="29" max="29" width="3.6328125" customWidth="1"/>
    <col min="30" max="30" width="3.6328125" bestFit="1" customWidth="1"/>
    <col min="31" max="32" width="3.6328125" customWidth="1"/>
    <col min="33" max="33" width="3.6328125" bestFit="1" customWidth="1"/>
    <col min="34" max="36" width="3.6328125" customWidth="1"/>
    <col min="37" max="37" width="5" customWidth="1"/>
    <col min="38" max="40" width="3.6328125" customWidth="1"/>
    <col min="41" max="41" width="3.54296875" customWidth="1"/>
    <col min="42" max="46" width="3.6328125" bestFit="1" customWidth="1"/>
    <col min="47" max="48" width="3.6328125" customWidth="1"/>
    <col min="49" max="52" width="3.6328125" bestFit="1" customWidth="1"/>
    <col min="53" max="53" width="9.90625" customWidth="1"/>
    <col min="54" max="54" width="10.36328125" customWidth="1"/>
  </cols>
  <sheetData>
    <row r="1" spans="1:54" ht="20" x14ac:dyDescent="0.35">
      <c r="A1" s="1511" t="s">
        <v>1506</v>
      </c>
      <c r="B1" s="1513" t="s">
        <v>1021</v>
      </c>
      <c r="C1" s="1514"/>
      <c r="D1" s="1514"/>
      <c r="E1" s="1514"/>
      <c r="F1" s="1514"/>
      <c r="G1" s="1514"/>
      <c r="H1" s="1514"/>
      <c r="I1" s="1514"/>
      <c r="J1" s="1514"/>
      <c r="K1" s="1514"/>
      <c r="L1" s="1514"/>
      <c r="M1" s="1514"/>
      <c r="N1" s="1514"/>
      <c r="O1" s="1514"/>
      <c r="P1" s="1514"/>
      <c r="Q1" s="1514"/>
      <c r="R1" s="1514"/>
      <c r="S1" s="1514"/>
      <c r="T1" s="1514"/>
      <c r="U1" s="1514"/>
      <c r="V1" s="1514"/>
      <c r="W1" s="1514"/>
      <c r="X1" s="1514"/>
      <c r="Y1" s="1514"/>
      <c r="Z1" s="1514"/>
      <c r="AA1" s="1514"/>
      <c r="AB1" s="1514"/>
      <c r="AC1" s="1514"/>
      <c r="AD1" s="1514"/>
      <c r="AE1" s="1514"/>
      <c r="AF1" s="1514"/>
      <c r="AG1" s="1514"/>
      <c r="AH1" s="1514"/>
      <c r="AI1" s="1514"/>
      <c r="AJ1" s="1514"/>
      <c r="AK1" s="1514"/>
      <c r="AL1" s="1514"/>
      <c r="AM1" s="1514"/>
      <c r="AN1" s="1514"/>
      <c r="AO1" s="1514"/>
      <c r="AP1" s="1514"/>
      <c r="AQ1" s="1514"/>
      <c r="AR1" s="1514"/>
      <c r="AS1" s="1514"/>
      <c r="AT1" s="1514"/>
      <c r="AU1" s="1514"/>
      <c r="AV1" s="1514"/>
      <c r="AW1" s="1514"/>
      <c r="AX1" s="1514"/>
      <c r="AY1" s="1514"/>
      <c r="AZ1" s="1514"/>
      <c r="BA1" s="1515"/>
      <c r="BB1" s="1516" t="s">
        <v>1022</v>
      </c>
    </row>
    <row r="2" spans="1:54" ht="17.5" x14ac:dyDescent="0.35">
      <c r="A2" s="1512"/>
      <c r="B2" s="1517" t="s">
        <v>894</v>
      </c>
      <c r="C2" s="1518"/>
      <c r="D2" s="1518"/>
      <c r="E2" s="1518"/>
      <c r="F2" s="1518"/>
      <c r="G2" s="1518"/>
      <c r="H2" s="1518"/>
      <c r="I2" s="1518"/>
      <c r="J2" s="1518"/>
      <c r="K2" s="1518"/>
      <c r="L2" s="1518"/>
      <c r="M2" s="1518"/>
      <c r="N2" s="1518"/>
      <c r="O2" s="1518"/>
      <c r="P2" s="1518"/>
      <c r="Q2" s="1518"/>
      <c r="R2" s="1518"/>
      <c r="S2" s="1518"/>
      <c r="T2" s="1518"/>
      <c r="U2" s="1518"/>
      <c r="V2" s="1518"/>
      <c r="W2" s="1518"/>
      <c r="X2" s="1518"/>
      <c r="Y2" s="1518"/>
      <c r="Z2" s="1518"/>
      <c r="AA2" s="1518"/>
      <c r="AB2" s="1518"/>
      <c r="AC2" s="1518"/>
      <c r="AD2" s="1518"/>
      <c r="AE2" s="1518"/>
      <c r="AF2" s="1518"/>
      <c r="AG2" s="1518"/>
      <c r="AH2" s="1518"/>
      <c r="AI2" s="1518"/>
      <c r="AJ2" s="1518"/>
      <c r="AK2" s="1518"/>
      <c r="AL2" s="1518"/>
      <c r="AM2" s="1518"/>
      <c r="AN2" s="1518"/>
      <c r="AO2" s="1519" t="s">
        <v>893</v>
      </c>
      <c r="AP2" s="1519"/>
      <c r="AQ2" s="1519"/>
      <c r="AR2" s="1519"/>
      <c r="AS2" s="1519"/>
      <c r="AT2" s="1519"/>
      <c r="AU2" s="1519"/>
      <c r="AV2" s="1519"/>
      <c r="AW2" s="1519"/>
      <c r="AX2" s="1519"/>
      <c r="AY2" s="1519"/>
      <c r="AZ2" s="1519"/>
      <c r="BA2" s="1520"/>
      <c r="BB2" s="1516"/>
    </row>
    <row r="3" spans="1:54" x14ac:dyDescent="0.35">
      <c r="A3" s="1512"/>
      <c r="B3" s="1521" t="s">
        <v>890</v>
      </c>
      <c r="C3" s="1522"/>
      <c r="D3" s="1522"/>
      <c r="E3" s="1522"/>
      <c r="F3" s="1522"/>
      <c r="G3" s="1522"/>
      <c r="H3" s="1522"/>
      <c r="I3" s="1522"/>
      <c r="J3" s="1522"/>
      <c r="K3" s="1522"/>
      <c r="L3" s="1522"/>
      <c r="M3" s="1522"/>
      <c r="N3" s="1522"/>
      <c r="O3" s="1522"/>
      <c r="P3" s="1522"/>
      <c r="Q3" s="1522"/>
      <c r="R3" s="1522"/>
      <c r="S3" s="1522"/>
      <c r="T3" s="1523"/>
      <c r="U3" s="1524" t="s">
        <v>891</v>
      </c>
      <c r="V3" s="1524"/>
      <c r="W3" s="1524"/>
      <c r="X3" s="1524"/>
      <c r="Y3" s="1524"/>
      <c r="Z3" s="1524"/>
      <c r="AA3" s="1524"/>
      <c r="AB3" s="1524"/>
      <c r="AC3" s="1524"/>
      <c r="AD3" s="1524" t="s">
        <v>892</v>
      </c>
      <c r="AE3" s="1524"/>
      <c r="AF3" s="1524"/>
      <c r="AG3" s="1524"/>
      <c r="AH3" s="1524"/>
      <c r="AI3" s="1524"/>
      <c r="AJ3" s="1524"/>
      <c r="AK3" s="1524"/>
      <c r="AL3" s="1524"/>
      <c r="AM3" s="1524"/>
      <c r="AN3" s="1524"/>
      <c r="AO3" s="1525" t="s">
        <v>935</v>
      </c>
      <c r="AP3" s="1525"/>
      <c r="AQ3" s="1525"/>
      <c r="AR3" s="1525"/>
      <c r="AS3" s="1525"/>
      <c r="AT3" s="1525"/>
      <c r="AU3" s="1525"/>
      <c r="AV3" s="1525"/>
      <c r="AW3" s="1526" t="s">
        <v>943</v>
      </c>
      <c r="AX3" s="1526"/>
      <c r="AY3" s="1526"/>
      <c r="AZ3" s="1526"/>
      <c r="BA3" s="1526"/>
      <c r="BB3" s="1516"/>
    </row>
    <row r="4" spans="1:54" ht="114.5" x14ac:dyDescent="0.35">
      <c r="A4" s="1512"/>
      <c r="B4" s="477" t="s">
        <v>896</v>
      </c>
      <c r="C4" s="477" t="s">
        <v>897</v>
      </c>
      <c r="D4" s="477" t="s">
        <v>898</v>
      </c>
      <c r="E4" s="477" t="s">
        <v>899</v>
      </c>
      <c r="F4" s="477" t="s">
        <v>900</v>
      </c>
      <c r="G4" s="477" t="s">
        <v>901</v>
      </c>
      <c r="H4" s="477" t="s">
        <v>902</v>
      </c>
      <c r="I4" s="477" t="s">
        <v>903</v>
      </c>
      <c r="J4" s="477" t="s">
        <v>904</v>
      </c>
      <c r="K4" s="477" t="s">
        <v>905</v>
      </c>
      <c r="L4" s="477" t="s">
        <v>906</v>
      </c>
      <c r="M4" s="477" t="s">
        <v>907</v>
      </c>
      <c r="N4" s="477" t="s">
        <v>908</v>
      </c>
      <c r="O4" s="477" t="s">
        <v>909</v>
      </c>
      <c r="P4" s="477" t="s">
        <v>910</v>
      </c>
      <c r="Q4" s="477" t="s">
        <v>911</v>
      </c>
      <c r="R4" s="477" t="s">
        <v>912</v>
      </c>
      <c r="S4" s="477" t="s">
        <v>913</v>
      </c>
      <c r="T4" s="478" t="s">
        <v>914</v>
      </c>
      <c r="U4" s="477" t="s">
        <v>915</v>
      </c>
      <c r="V4" s="477" t="s">
        <v>916</v>
      </c>
      <c r="W4" s="477" t="s">
        <v>917</v>
      </c>
      <c r="X4" s="477" t="s">
        <v>918</v>
      </c>
      <c r="Y4" s="477" t="s">
        <v>919</v>
      </c>
      <c r="Z4" s="477" t="s">
        <v>920</v>
      </c>
      <c r="AA4" s="477" t="s">
        <v>921</v>
      </c>
      <c r="AB4" s="477" t="s">
        <v>922</v>
      </c>
      <c r="AC4" s="477" t="s">
        <v>923</v>
      </c>
      <c r="AD4" s="477" t="s">
        <v>924</v>
      </c>
      <c r="AE4" s="477" t="s">
        <v>925</v>
      </c>
      <c r="AF4" s="477" t="s">
        <v>926</v>
      </c>
      <c r="AG4" s="477" t="s">
        <v>927</v>
      </c>
      <c r="AH4" s="477" t="s">
        <v>928</v>
      </c>
      <c r="AI4" s="477" t="s">
        <v>929</v>
      </c>
      <c r="AJ4" s="477" t="s">
        <v>930</v>
      </c>
      <c r="AK4" s="477" t="s">
        <v>931</v>
      </c>
      <c r="AL4" s="477" t="s">
        <v>932</v>
      </c>
      <c r="AM4" s="477" t="s">
        <v>933</v>
      </c>
      <c r="AN4" s="477" t="s">
        <v>934</v>
      </c>
      <c r="AO4" s="477" t="s">
        <v>936</v>
      </c>
      <c r="AP4" s="477" t="s">
        <v>937</v>
      </c>
      <c r="AQ4" s="477" t="s">
        <v>938</v>
      </c>
      <c r="AR4" s="477" t="s">
        <v>939</v>
      </c>
      <c r="AS4" s="477" t="s">
        <v>940</v>
      </c>
      <c r="AT4" s="477" t="s">
        <v>941</v>
      </c>
      <c r="AU4" s="477" t="s">
        <v>942</v>
      </c>
      <c r="AV4" s="477" t="s">
        <v>935</v>
      </c>
      <c r="AW4" s="477" t="s">
        <v>944</v>
      </c>
      <c r="AX4" s="477" t="s">
        <v>945</v>
      </c>
      <c r="AY4" s="477" t="s">
        <v>946</v>
      </c>
      <c r="AZ4" s="477" t="s">
        <v>947</v>
      </c>
      <c r="BA4" s="477" t="s">
        <v>948</v>
      </c>
      <c r="BB4" s="1516"/>
    </row>
    <row r="5" spans="1:54" ht="17.5" x14ac:dyDescent="0.35">
      <c r="A5" s="349" t="s">
        <v>1023</v>
      </c>
      <c r="B5" s="479">
        <v>1</v>
      </c>
      <c r="C5" s="480"/>
      <c r="D5" s="480"/>
      <c r="E5" s="480">
        <v>1</v>
      </c>
      <c r="F5" s="480">
        <v>1</v>
      </c>
      <c r="G5" s="480"/>
      <c r="H5" s="480"/>
      <c r="I5" s="480"/>
      <c r="J5" s="480">
        <v>1</v>
      </c>
      <c r="K5" s="480">
        <v>1</v>
      </c>
      <c r="L5" s="480"/>
      <c r="M5" s="480"/>
      <c r="N5" s="480"/>
      <c r="O5" s="480"/>
      <c r="P5" s="480"/>
      <c r="Q5" s="480"/>
      <c r="R5" s="480"/>
      <c r="S5" s="480"/>
      <c r="T5" s="480"/>
      <c r="U5" s="480">
        <v>1</v>
      </c>
      <c r="V5" s="480"/>
      <c r="W5" s="480"/>
      <c r="X5" s="480"/>
      <c r="Y5" s="480">
        <v>0</v>
      </c>
      <c r="Z5" s="480">
        <v>0</v>
      </c>
      <c r="AA5" s="480">
        <v>1</v>
      </c>
      <c r="AB5" s="480"/>
      <c r="AC5" s="480">
        <v>1</v>
      </c>
      <c r="AD5" s="480"/>
      <c r="AE5" s="480"/>
      <c r="AF5" s="480"/>
      <c r="AG5" s="480">
        <v>1</v>
      </c>
      <c r="AH5" s="480"/>
      <c r="AI5" s="480"/>
      <c r="AJ5" s="480"/>
      <c r="AK5" s="480"/>
      <c r="AL5" s="480"/>
      <c r="AM5" s="480"/>
      <c r="AN5" s="480"/>
      <c r="AO5" s="480"/>
      <c r="AP5" s="480"/>
      <c r="AQ5" s="480"/>
      <c r="AR5" s="480"/>
      <c r="AS5" s="480"/>
      <c r="AT5" s="480"/>
      <c r="AU5" s="480"/>
      <c r="AV5" s="480"/>
      <c r="AW5" s="480"/>
      <c r="AX5" s="480"/>
      <c r="AY5" s="480"/>
      <c r="AZ5" s="480"/>
      <c r="BA5" s="480"/>
      <c r="BB5" s="481">
        <f t="shared" ref="BB5:BB13" si="0">SUM(B5:BA5)</f>
        <v>9</v>
      </c>
    </row>
    <row r="6" spans="1:54" ht="42.75" customHeight="1" x14ac:dyDescent="0.35">
      <c r="A6" s="350" t="s">
        <v>1024</v>
      </c>
      <c r="B6" s="479"/>
      <c r="C6" s="479">
        <v>1</v>
      </c>
      <c r="D6" s="479"/>
      <c r="E6" s="479"/>
      <c r="F6" s="480"/>
      <c r="G6" s="480"/>
      <c r="H6" s="480">
        <v>1</v>
      </c>
      <c r="I6" s="480"/>
      <c r="J6" s="480">
        <v>1</v>
      </c>
      <c r="K6" s="480"/>
      <c r="L6" s="480"/>
      <c r="M6" s="480"/>
      <c r="N6" s="480"/>
      <c r="O6" s="480"/>
      <c r="P6" s="480"/>
      <c r="Q6" s="480"/>
      <c r="R6" s="480"/>
      <c r="S6" s="480"/>
      <c r="T6" s="480"/>
      <c r="U6" s="480"/>
      <c r="V6" s="480"/>
      <c r="W6" s="480"/>
      <c r="X6" s="480"/>
      <c r="Y6" s="480">
        <v>0</v>
      </c>
      <c r="Z6" s="480">
        <v>0</v>
      </c>
      <c r="AA6" s="480"/>
      <c r="AB6" s="480"/>
      <c r="AC6" s="480"/>
      <c r="AD6" s="480"/>
      <c r="AE6" s="480"/>
      <c r="AF6" s="480"/>
      <c r="AG6" s="480"/>
      <c r="AH6" s="480"/>
      <c r="AI6" s="480"/>
      <c r="AJ6" s="480"/>
      <c r="AK6" s="480"/>
      <c r="AL6" s="480">
        <v>1</v>
      </c>
      <c r="AM6" s="480"/>
      <c r="AN6" s="480"/>
      <c r="AO6" s="480"/>
      <c r="AP6" s="480"/>
      <c r="AQ6" s="480"/>
      <c r="AR6" s="480"/>
      <c r="AS6" s="480"/>
      <c r="AT6" s="480"/>
      <c r="AU6" s="480"/>
      <c r="AV6" s="480"/>
      <c r="AW6" s="480"/>
      <c r="AX6" s="480"/>
      <c r="AY6" s="480"/>
      <c r="AZ6" s="480"/>
      <c r="BA6" s="480"/>
      <c r="BB6" s="481">
        <f t="shared" si="0"/>
        <v>4</v>
      </c>
    </row>
    <row r="7" spans="1:54" ht="42" customHeight="1" thickBot="1" x14ac:dyDescent="0.4">
      <c r="A7" s="351" t="s">
        <v>1025</v>
      </c>
      <c r="B7" s="479"/>
      <c r="C7" s="479"/>
      <c r="D7" s="479"/>
      <c r="E7" s="479">
        <v>1</v>
      </c>
      <c r="F7" s="480"/>
      <c r="G7" s="480"/>
      <c r="H7" s="480"/>
      <c r="I7" s="480"/>
      <c r="J7" s="480"/>
      <c r="K7" s="480">
        <v>1</v>
      </c>
      <c r="L7" s="480"/>
      <c r="M7" s="480"/>
      <c r="N7" s="480"/>
      <c r="O7" s="480"/>
      <c r="P7" s="480">
        <v>1</v>
      </c>
      <c r="Q7" s="480"/>
      <c r="R7" s="480"/>
      <c r="S7" s="480"/>
      <c r="T7" s="480"/>
      <c r="U7" s="480">
        <v>1</v>
      </c>
      <c r="V7" s="480">
        <v>1</v>
      </c>
      <c r="W7" s="480"/>
      <c r="X7" s="480"/>
      <c r="Y7" s="480">
        <v>0</v>
      </c>
      <c r="Z7" s="480">
        <v>0</v>
      </c>
      <c r="AA7" s="480"/>
      <c r="AB7" s="480">
        <v>1</v>
      </c>
      <c r="AC7" s="480">
        <v>1</v>
      </c>
      <c r="AD7" s="480">
        <v>1</v>
      </c>
      <c r="AE7" s="480">
        <v>1</v>
      </c>
      <c r="AF7" s="480"/>
      <c r="AG7" s="480"/>
      <c r="AH7" s="480"/>
      <c r="AI7" s="480">
        <v>1</v>
      </c>
      <c r="AJ7" s="480"/>
      <c r="AK7" s="480"/>
      <c r="AL7" s="480"/>
      <c r="AM7" s="480"/>
      <c r="AN7" s="480">
        <v>1</v>
      </c>
      <c r="AO7" s="480"/>
      <c r="AP7" s="480"/>
      <c r="AQ7" s="480"/>
      <c r="AR7" s="480"/>
      <c r="AS7" s="480"/>
      <c r="AT7" s="480"/>
      <c r="AU7" s="480"/>
      <c r="AV7" s="480"/>
      <c r="AW7" s="480"/>
      <c r="AX7" s="480"/>
      <c r="AY7" s="480"/>
      <c r="AZ7" s="480"/>
      <c r="BA7" s="480"/>
      <c r="BB7" s="481">
        <f t="shared" si="0"/>
        <v>11</v>
      </c>
    </row>
    <row r="8" spans="1:54" ht="18.5" thickTop="1" thickBot="1" x14ac:dyDescent="0.4">
      <c r="A8" s="352" t="s">
        <v>1026</v>
      </c>
      <c r="B8" s="479"/>
      <c r="C8" s="479"/>
      <c r="D8" s="479"/>
      <c r="E8" s="479"/>
      <c r="F8" s="480"/>
      <c r="G8" s="480"/>
      <c r="H8" s="480">
        <v>1</v>
      </c>
      <c r="I8" s="480"/>
      <c r="J8" s="480"/>
      <c r="K8" s="480">
        <v>1</v>
      </c>
      <c r="L8" s="480"/>
      <c r="M8" s="480"/>
      <c r="N8" s="480"/>
      <c r="O8" s="480">
        <v>1</v>
      </c>
      <c r="P8" s="480"/>
      <c r="Q8" s="480">
        <v>1</v>
      </c>
      <c r="R8" s="480">
        <v>1</v>
      </c>
      <c r="S8" s="480">
        <v>1</v>
      </c>
      <c r="T8" s="480">
        <v>1</v>
      </c>
      <c r="U8" s="480">
        <v>1</v>
      </c>
      <c r="V8" s="480"/>
      <c r="W8" s="480"/>
      <c r="X8" s="480">
        <v>1</v>
      </c>
      <c r="Y8" s="480">
        <v>0</v>
      </c>
      <c r="Z8" s="480">
        <v>0</v>
      </c>
      <c r="AA8" s="480">
        <v>1</v>
      </c>
      <c r="AB8" s="480"/>
      <c r="AC8" s="480"/>
      <c r="AD8" s="480"/>
      <c r="AE8" s="480">
        <v>1</v>
      </c>
      <c r="AF8" s="480">
        <v>1</v>
      </c>
      <c r="AG8" s="480">
        <v>1</v>
      </c>
      <c r="AH8" s="480">
        <v>1</v>
      </c>
      <c r="AI8" s="480"/>
      <c r="AJ8" s="480"/>
      <c r="AK8" s="480">
        <v>1</v>
      </c>
      <c r="AL8" s="480"/>
      <c r="AM8" s="480">
        <v>1</v>
      </c>
      <c r="AN8" s="480">
        <v>1</v>
      </c>
      <c r="AO8" s="480">
        <v>1</v>
      </c>
      <c r="AP8" s="480">
        <v>1</v>
      </c>
      <c r="AQ8" s="480">
        <v>1</v>
      </c>
      <c r="AR8" s="480">
        <v>1</v>
      </c>
      <c r="AS8" s="480">
        <v>1</v>
      </c>
      <c r="AT8" s="480">
        <v>1</v>
      </c>
      <c r="AU8" s="480">
        <v>1</v>
      </c>
      <c r="AV8" s="480">
        <v>1</v>
      </c>
      <c r="AW8" s="480">
        <v>1</v>
      </c>
      <c r="AX8" s="480">
        <v>1</v>
      </c>
      <c r="AY8" s="480">
        <v>1</v>
      </c>
      <c r="AZ8" s="480">
        <v>1</v>
      </c>
      <c r="BA8" s="480">
        <v>1</v>
      </c>
      <c r="BB8" s="481">
        <f t="shared" si="0"/>
        <v>30</v>
      </c>
    </row>
    <row r="9" spans="1:54" ht="47.25" customHeight="1" thickTop="1" thickBot="1" x14ac:dyDescent="0.4">
      <c r="A9" s="353" t="s">
        <v>1027</v>
      </c>
      <c r="B9" s="479">
        <v>1</v>
      </c>
      <c r="C9" s="479"/>
      <c r="D9" s="479"/>
      <c r="E9" s="479"/>
      <c r="F9" s="480">
        <v>1</v>
      </c>
      <c r="G9" s="480"/>
      <c r="H9" s="480"/>
      <c r="I9" s="480"/>
      <c r="J9" s="480"/>
      <c r="K9" s="480"/>
      <c r="L9" s="480"/>
      <c r="M9" s="480"/>
      <c r="N9" s="480"/>
      <c r="O9" s="480"/>
      <c r="P9" s="480"/>
      <c r="Q9" s="480"/>
      <c r="R9" s="480"/>
      <c r="S9" s="480"/>
      <c r="T9" s="480"/>
      <c r="U9" s="480"/>
      <c r="V9" s="480"/>
      <c r="W9" s="480"/>
      <c r="X9" s="480"/>
      <c r="Y9" s="480">
        <v>0</v>
      </c>
      <c r="Z9" s="480">
        <v>0</v>
      </c>
      <c r="AA9" s="480"/>
      <c r="AB9" s="480"/>
      <c r="AC9" s="480"/>
      <c r="AD9" s="480"/>
      <c r="AE9" s="480"/>
      <c r="AF9" s="480"/>
      <c r="AG9" s="480"/>
      <c r="AH9" s="480"/>
      <c r="AI9" s="480"/>
      <c r="AJ9" s="480"/>
      <c r="AK9" s="480"/>
      <c r="AL9" s="480"/>
      <c r="AM9" s="480"/>
      <c r="AN9" s="480"/>
      <c r="AO9" s="480"/>
      <c r="AP9" s="480"/>
      <c r="AQ9" s="480"/>
      <c r="AR9" s="480"/>
      <c r="AS9" s="480"/>
      <c r="AT9" s="480"/>
      <c r="AU9" s="480"/>
      <c r="AV9" s="480"/>
      <c r="AW9" s="480"/>
      <c r="AX9" s="480"/>
      <c r="AY9" s="480"/>
      <c r="AZ9" s="482"/>
      <c r="BA9" s="480"/>
      <c r="BB9" s="481">
        <f t="shared" si="0"/>
        <v>2</v>
      </c>
    </row>
    <row r="10" spans="1:54" ht="29.25" customHeight="1" thickTop="1" thickBot="1" x14ac:dyDescent="0.4">
      <c r="A10" s="353" t="s">
        <v>1028</v>
      </c>
      <c r="B10" s="479"/>
      <c r="C10" s="479"/>
      <c r="D10" s="479">
        <v>1</v>
      </c>
      <c r="E10" s="479">
        <v>1</v>
      </c>
      <c r="F10" s="480"/>
      <c r="G10" s="480"/>
      <c r="H10" s="480">
        <v>1</v>
      </c>
      <c r="I10" s="480"/>
      <c r="J10" s="480">
        <v>1</v>
      </c>
      <c r="K10" s="480">
        <v>1</v>
      </c>
      <c r="L10" s="480"/>
      <c r="M10" s="480">
        <v>1</v>
      </c>
      <c r="N10" s="480">
        <v>1</v>
      </c>
      <c r="O10" s="480">
        <v>1</v>
      </c>
      <c r="P10" s="480"/>
      <c r="Q10" s="480"/>
      <c r="R10" s="480"/>
      <c r="S10" s="480"/>
      <c r="T10" s="480"/>
      <c r="U10" s="480"/>
      <c r="V10" s="480">
        <v>1</v>
      </c>
      <c r="W10" s="480"/>
      <c r="X10" s="480"/>
      <c r="Y10" s="480">
        <v>0</v>
      </c>
      <c r="Z10" s="480">
        <v>0</v>
      </c>
      <c r="AA10" s="480"/>
      <c r="AB10" s="480">
        <v>1</v>
      </c>
      <c r="AC10" s="480">
        <v>1</v>
      </c>
      <c r="AD10" s="480">
        <v>1</v>
      </c>
      <c r="AE10" s="480">
        <v>1</v>
      </c>
      <c r="AF10" s="480"/>
      <c r="AG10" s="480">
        <v>1</v>
      </c>
      <c r="AH10" s="480"/>
      <c r="AI10" s="480">
        <v>1</v>
      </c>
      <c r="AJ10" s="480"/>
      <c r="AK10" s="480"/>
      <c r="AL10" s="480"/>
      <c r="AM10" s="480"/>
      <c r="AN10" s="480">
        <v>1</v>
      </c>
      <c r="AO10" s="480"/>
      <c r="AP10" s="480"/>
      <c r="AQ10" s="480"/>
      <c r="AR10" s="480"/>
      <c r="AS10" s="480"/>
      <c r="AT10" s="480"/>
      <c r="AU10" s="480"/>
      <c r="AV10" s="480"/>
      <c r="AW10" s="480"/>
      <c r="AX10" s="480"/>
      <c r="AY10" s="480"/>
      <c r="AZ10" s="480"/>
      <c r="BA10" s="480"/>
      <c r="BB10" s="481">
        <f t="shared" si="0"/>
        <v>16</v>
      </c>
    </row>
    <row r="11" spans="1:54" ht="36" thickTop="1" thickBot="1" x14ac:dyDescent="0.4">
      <c r="A11" s="354" t="s">
        <v>1029</v>
      </c>
      <c r="B11" s="479"/>
      <c r="C11" s="479"/>
      <c r="D11" s="479">
        <v>1</v>
      </c>
      <c r="E11" s="479"/>
      <c r="F11" s="480"/>
      <c r="G11" s="480"/>
      <c r="H11" s="480"/>
      <c r="I11" s="480">
        <v>1</v>
      </c>
      <c r="J11" s="480"/>
      <c r="K11" s="480"/>
      <c r="L11" s="480">
        <v>1</v>
      </c>
      <c r="M11" s="480"/>
      <c r="N11" s="480"/>
      <c r="O11" s="480"/>
      <c r="P11" s="480"/>
      <c r="Q11" s="480"/>
      <c r="R11" s="480"/>
      <c r="S11" s="480"/>
      <c r="T11" s="480"/>
      <c r="U11" s="480"/>
      <c r="V11" s="480"/>
      <c r="W11" s="480"/>
      <c r="X11" s="480"/>
      <c r="Y11" s="480">
        <v>0</v>
      </c>
      <c r="Z11" s="480">
        <v>0</v>
      </c>
      <c r="AA11" s="480"/>
      <c r="AB11" s="480"/>
      <c r="AC11" s="480"/>
      <c r="AD11" s="480"/>
      <c r="AE11" s="480"/>
      <c r="AF11" s="480"/>
      <c r="AG11" s="480"/>
      <c r="AH11" s="480">
        <v>1</v>
      </c>
      <c r="AI11" s="480"/>
      <c r="AJ11" s="480">
        <v>1</v>
      </c>
      <c r="AK11" s="480"/>
      <c r="AL11" s="480"/>
      <c r="AM11" s="480"/>
      <c r="AN11" s="480"/>
      <c r="AO11" s="480"/>
      <c r="AP11" s="480"/>
      <c r="AQ11" s="480"/>
      <c r="AR11" s="480"/>
      <c r="AS11" s="480"/>
      <c r="AT11" s="480"/>
      <c r="AU11" s="480"/>
      <c r="AV11" s="480"/>
      <c r="AW11" s="480"/>
      <c r="AX11" s="480"/>
      <c r="AY11" s="480"/>
      <c r="AZ11" s="480"/>
      <c r="BA11" s="480"/>
      <c r="BB11" s="481">
        <f t="shared" si="0"/>
        <v>5</v>
      </c>
    </row>
    <row r="12" spans="1:54" ht="35.5" thickTop="1" x14ac:dyDescent="0.35">
      <c r="A12" s="355" t="s">
        <v>1030</v>
      </c>
      <c r="B12" s="483"/>
      <c r="C12" s="484">
        <v>1</v>
      </c>
      <c r="D12" s="483"/>
      <c r="E12" s="483"/>
      <c r="F12" s="483"/>
      <c r="G12" s="484">
        <v>1</v>
      </c>
      <c r="H12" s="483"/>
      <c r="I12" s="483"/>
      <c r="J12" s="483"/>
      <c r="K12" s="483"/>
      <c r="L12" s="483"/>
      <c r="M12" s="483"/>
      <c r="N12" s="483"/>
      <c r="O12" s="483"/>
      <c r="P12" s="483"/>
      <c r="Q12" s="483"/>
      <c r="R12" s="483"/>
      <c r="S12" s="483"/>
      <c r="T12" s="483"/>
      <c r="U12" s="484">
        <v>1</v>
      </c>
      <c r="V12" s="483"/>
      <c r="W12" s="483">
        <v>1</v>
      </c>
      <c r="X12" s="483">
        <v>1</v>
      </c>
      <c r="Y12" s="480">
        <v>0</v>
      </c>
      <c r="Z12" s="480">
        <v>0</v>
      </c>
      <c r="AA12" s="483"/>
      <c r="AB12" s="483">
        <v>1</v>
      </c>
      <c r="AC12" s="483"/>
      <c r="AD12" s="483"/>
      <c r="AE12" s="483"/>
      <c r="AF12" s="483"/>
      <c r="AG12" s="483"/>
      <c r="AH12" s="483"/>
      <c r="AI12" s="483"/>
      <c r="AJ12" s="483"/>
      <c r="AK12" s="483"/>
      <c r="AL12" s="483"/>
      <c r="AM12" s="483"/>
      <c r="AN12" s="483"/>
      <c r="AO12" s="483"/>
      <c r="AP12" s="483"/>
      <c r="AQ12" s="483"/>
      <c r="AR12" s="483"/>
      <c r="AS12" s="483"/>
      <c r="AT12" s="483"/>
      <c r="AU12" s="483"/>
      <c r="AV12" s="483"/>
      <c r="AW12" s="483"/>
      <c r="AX12" s="483"/>
      <c r="AY12" s="483"/>
      <c r="AZ12" s="483"/>
      <c r="BA12" s="483"/>
      <c r="BB12" s="481">
        <f t="shared" si="0"/>
        <v>6</v>
      </c>
    </row>
    <row r="13" spans="1:54" ht="17.5" x14ac:dyDescent="0.35">
      <c r="A13" s="485" t="s">
        <v>1031</v>
      </c>
      <c r="B13" s="486"/>
      <c r="C13" s="486"/>
      <c r="D13" s="486"/>
      <c r="E13" s="486"/>
      <c r="F13" s="486"/>
      <c r="G13" s="486"/>
      <c r="H13" s="486"/>
      <c r="I13" s="486"/>
      <c r="J13" s="486"/>
      <c r="K13" s="486"/>
      <c r="L13" s="486"/>
      <c r="M13" s="486"/>
      <c r="N13" s="486">
        <v>1</v>
      </c>
      <c r="O13" s="486"/>
      <c r="P13" s="486">
        <v>1</v>
      </c>
      <c r="Q13" s="486"/>
      <c r="R13" s="486"/>
      <c r="S13" s="486"/>
      <c r="T13" s="486"/>
      <c r="U13" s="486"/>
      <c r="V13" s="486">
        <v>1</v>
      </c>
      <c r="W13" s="486"/>
      <c r="X13" s="486"/>
      <c r="Y13" s="480">
        <v>0</v>
      </c>
      <c r="Z13" s="480">
        <v>0</v>
      </c>
      <c r="AA13" s="486"/>
      <c r="AB13" s="486"/>
      <c r="AC13" s="486"/>
      <c r="AD13" s="486"/>
      <c r="AE13" s="486"/>
      <c r="AF13" s="486"/>
      <c r="AG13" s="486"/>
      <c r="AH13" s="486"/>
      <c r="AI13" s="486"/>
      <c r="AJ13" s="486"/>
      <c r="AK13" s="486"/>
      <c r="AL13" s="486"/>
      <c r="AM13" s="486"/>
      <c r="AN13" s="486"/>
      <c r="AO13" s="486"/>
      <c r="AP13" s="486"/>
      <c r="AQ13" s="486"/>
      <c r="AR13" s="486"/>
      <c r="AS13" s="486"/>
      <c r="AT13" s="486"/>
      <c r="AU13" s="486"/>
      <c r="AV13" s="486"/>
      <c r="AW13" s="486"/>
      <c r="AX13" s="486"/>
      <c r="AY13" s="486"/>
      <c r="AZ13" s="486"/>
      <c r="BA13" s="486"/>
      <c r="BB13" s="481">
        <f t="shared" si="0"/>
        <v>3</v>
      </c>
    </row>
    <row r="14" spans="1:54" s="356" customFormat="1" ht="30" customHeight="1" x14ac:dyDescent="0.35">
      <c r="A14" s="357" t="s">
        <v>1032</v>
      </c>
      <c r="B14" s="487">
        <f>SUM(B5:B13)</f>
        <v>2</v>
      </c>
      <c r="C14" s="487">
        <f t="shared" ref="C14:BA14" si="1">SUM(C5:C13)</f>
        <v>2</v>
      </c>
      <c r="D14" s="487">
        <f t="shared" si="1"/>
        <v>2</v>
      </c>
      <c r="E14" s="487">
        <f t="shared" si="1"/>
        <v>3</v>
      </c>
      <c r="F14" s="487">
        <f t="shared" si="1"/>
        <v>2</v>
      </c>
      <c r="G14" s="487">
        <f t="shared" si="1"/>
        <v>1</v>
      </c>
      <c r="H14" s="487">
        <f t="shared" si="1"/>
        <v>3</v>
      </c>
      <c r="I14" s="487">
        <f t="shared" si="1"/>
        <v>1</v>
      </c>
      <c r="J14" s="487">
        <f t="shared" si="1"/>
        <v>3</v>
      </c>
      <c r="K14" s="487">
        <f t="shared" si="1"/>
        <v>4</v>
      </c>
      <c r="L14" s="487">
        <f t="shared" si="1"/>
        <v>1</v>
      </c>
      <c r="M14" s="487">
        <f t="shared" si="1"/>
        <v>1</v>
      </c>
      <c r="N14" s="487">
        <f t="shared" si="1"/>
        <v>2</v>
      </c>
      <c r="O14" s="487">
        <f t="shared" si="1"/>
        <v>2</v>
      </c>
      <c r="P14" s="487">
        <f t="shared" si="1"/>
        <v>2</v>
      </c>
      <c r="Q14" s="487">
        <f t="shared" si="1"/>
        <v>1</v>
      </c>
      <c r="R14" s="487">
        <f t="shared" si="1"/>
        <v>1</v>
      </c>
      <c r="S14" s="487">
        <f t="shared" si="1"/>
        <v>1</v>
      </c>
      <c r="T14" s="487">
        <f t="shared" si="1"/>
        <v>1</v>
      </c>
      <c r="U14" s="487">
        <f t="shared" si="1"/>
        <v>4</v>
      </c>
      <c r="V14" s="487">
        <f t="shared" si="1"/>
        <v>3</v>
      </c>
      <c r="W14" s="487">
        <f t="shared" si="1"/>
        <v>1</v>
      </c>
      <c r="X14" s="487">
        <f t="shared" si="1"/>
        <v>2</v>
      </c>
      <c r="Y14" s="487">
        <f t="shared" si="1"/>
        <v>0</v>
      </c>
      <c r="Z14" s="487">
        <f t="shared" si="1"/>
        <v>0</v>
      </c>
      <c r="AA14" s="487">
        <f t="shared" si="1"/>
        <v>2</v>
      </c>
      <c r="AB14" s="487">
        <f t="shared" si="1"/>
        <v>3</v>
      </c>
      <c r="AC14" s="487">
        <f t="shared" si="1"/>
        <v>3</v>
      </c>
      <c r="AD14" s="487">
        <f t="shared" si="1"/>
        <v>2</v>
      </c>
      <c r="AE14" s="487">
        <f t="shared" si="1"/>
        <v>3</v>
      </c>
      <c r="AF14" s="487">
        <f t="shared" si="1"/>
        <v>1</v>
      </c>
      <c r="AG14" s="487">
        <f t="shared" si="1"/>
        <v>3</v>
      </c>
      <c r="AH14" s="487">
        <f t="shared" si="1"/>
        <v>2</v>
      </c>
      <c r="AI14" s="487">
        <f t="shared" si="1"/>
        <v>2</v>
      </c>
      <c r="AJ14" s="487">
        <f t="shared" si="1"/>
        <v>1</v>
      </c>
      <c r="AK14" s="487">
        <f t="shared" si="1"/>
        <v>1</v>
      </c>
      <c r="AL14" s="487">
        <f t="shared" si="1"/>
        <v>1</v>
      </c>
      <c r="AM14" s="487">
        <f t="shared" si="1"/>
        <v>1</v>
      </c>
      <c r="AN14" s="487">
        <f t="shared" si="1"/>
        <v>3</v>
      </c>
      <c r="AO14" s="487">
        <f t="shared" si="1"/>
        <v>1</v>
      </c>
      <c r="AP14" s="487">
        <f t="shared" si="1"/>
        <v>1</v>
      </c>
      <c r="AQ14" s="487">
        <f t="shared" si="1"/>
        <v>1</v>
      </c>
      <c r="AR14" s="487">
        <f t="shared" si="1"/>
        <v>1</v>
      </c>
      <c r="AS14" s="487">
        <f t="shared" si="1"/>
        <v>1</v>
      </c>
      <c r="AT14" s="487">
        <f t="shared" si="1"/>
        <v>1</v>
      </c>
      <c r="AU14" s="487">
        <f t="shared" si="1"/>
        <v>1</v>
      </c>
      <c r="AV14" s="487">
        <f t="shared" si="1"/>
        <v>1</v>
      </c>
      <c r="AW14" s="487">
        <f t="shared" si="1"/>
        <v>1</v>
      </c>
      <c r="AX14" s="487">
        <f t="shared" si="1"/>
        <v>1</v>
      </c>
      <c r="AY14" s="487">
        <f t="shared" si="1"/>
        <v>1</v>
      </c>
      <c r="AZ14" s="487">
        <f t="shared" si="1"/>
        <v>1</v>
      </c>
      <c r="BA14" s="487">
        <f t="shared" si="1"/>
        <v>1</v>
      </c>
      <c r="BB14" s="488">
        <f>SUM(BB5:BB13)</f>
        <v>86</v>
      </c>
    </row>
  </sheetData>
  <mergeCells count="10">
    <mergeCell ref="A1:A4"/>
    <mergeCell ref="B1:BA1"/>
    <mergeCell ref="BB1:BB4"/>
    <mergeCell ref="B2:AN2"/>
    <mergeCell ref="AO2:BA2"/>
    <mergeCell ref="B3:T3"/>
    <mergeCell ref="U3:AC3"/>
    <mergeCell ref="AD3:AN3"/>
    <mergeCell ref="AO3:AV3"/>
    <mergeCell ref="AW3:BA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fitToPage="1"/>
  </sheetPr>
  <dimension ref="A1:BA71"/>
  <sheetViews>
    <sheetView zoomScale="90" zoomScaleNormal="90" workbookViewId="0">
      <selection activeCell="F42" sqref="F42"/>
    </sheetView>
  </sheetViews>
  <sheetFormatPr defaultColWidth="9.08984375" defaultRowHeight="14" x14ac:dyDescent="0.3"/>
  <cols>
    <col min="1" max="1" width="1.54296875" style="12" customWidth="1"/>
    <col min="2" max="2" width="10.36328125" style="12" customWidth="1"/>
    <col min="3" max="3" width="21" style="12" customWidth="1"/>
    <col min="4" max="5" width="28.6328125" style="13" customWidth="1"/>
    <col min="6" max="6" width="13.54296875" style="13" customWidth="1"/>
    <col min="7" max="7" width="1.08984375" style="13" customWidth="1"/>
    <col min="8" max="8" width="12.08984375" style="13" customWidth="1"/>
    <col min="9" max="9" width="1.54296875" style="12" customWidth="1"/>
    <col min="10" max="10" width="10.36328125" style="12" customWidth="1"/>
    <col min="11" max="11" width="21" style="12" customWidth="1"/>
    <col min="12" max="13" width="28.6328125" style="13" customWidth="1"/>
    <col min="14" max="14" width="13.54296875" style="13" customWidth="1"/>
    <col min="15" max="15" width="1.08984375" style="13" customWidth="1"/>
    <col min="16" max="16" width="6" style="136" customWidth="1"/>
    <col min="17" max="17" width="1.453125" style="13" customWidth="1"/>
    <col min="18" max="18" width="1.54296875" style="12" customWidth="1"/>
    <col min="19" max="19" width="10.36328125" style="12" customWidth="1"/>
    <col min="20" max="20" width="21" style="12" customWidth="1"/>
    <col min="21" max="22" width="28.6328125" style="13" customWidth="1"/>
    <col min="23" max="23" width="13.54296875" style="13" customWidth="1"/>
    <col min="24" max="24" width="1.08984375" style="13" customWidth="1"/>
    <col min="25" max="25" width="6" style="136" customWidth="1"/>
    <col min="26" max="26" width="1.453125" style="13" customWidth="1"/>
    <col min="27" max="27" width="1.54296875" style="12" customWidth="1"/>
    <col min="28" max="28" width="14.08984375" style="12" bestFit="1" customWidth="1"/>
    <col min="29" max="29" width="21" style="12" customWidth="1"/>
    <col min="30" max="30" width="32" style="13" customWidth="1"/>
    <col min="31" max="31" width="22.6328125" style="13" customWidth="1"/>
    <col min="32" max="32" width="13.54296875" style="13" customWidth="1"/>
    <col min="33" max="33" width="1.08984375" style="13" customWidth="1"/>
    <col min="34" max="34" width="6.54296875" style="13" customWidth="1"/>
    <col min="35" max="35" width="2.36328125" style="13" customWidth="1"/>
    <col min="36" max="36" width="1.54296875" style="12" customWidth="1"/>
    <col min="37" max="37" width="10.36328125" style="12" customWidth="1"/>
    <col min="38" max="38" width="21" style="12" customWidth="1"/>
    <col min="39" max="39" width="32" style="13" customWidth="1"/>
    <col min="40" max="40" width="22.6328125" style="13" customWidth="1"/>
    <col min="41" max="41" width="13.54296875" style="13" customWidth="1"/>
    <col min="42" max="42" width="1.08984375" style="13" customWidth="1"/>
    <col min="43" max="43" width="6.54296875" style="13" customWidth="1"/>
    <col min="44" max="44" width="2.36328125" style="13" customWidth="1"/>
    <col min="45" max="45" width="1.54296875" style="12" customWidth="1"/>
    <col min="46" max="46" width="10.36328125" style="12" customWidth="1"/>
    <col min="47" max="47" width="21" style="12" customWidth="1"/>
    <col min="48" max="48" width="32" style="13" customWidth="1"/>
    <col min="49" max="49" width="22.6328125" style="13" customWidth="1"/>
    <col min="50" max="50" width="13.54296875" style="13" customWidth="1"/>
    <col min="51" max="51" width="1.08984375" style="13" customWidth="1"/>
    <col min="52" max="52" width="5.6328125" style="13" customWidth="1"/>
    <col min="53" max="16384" width="9.08984375" style="13"/>
  </cols>
  <sheetData>
    <row r="1" spans="1:52" ht="14.4" customHeight="1" thickBot="1" x14ac:dyDescent="0.35">
      <c r="AB1" s="151"/>
      <c r="AK1" s="151"/>
    </row>
    <row r="2" spans="1:52" ht="14.4" customHeight="1" thickBot="1" x14ac:dyDescent="0.35">
      <c r="A2" s="36"/>
      <c r="B2" s="37"/>
      <c r="C2" s="37"/>
      <c r="D2" s="38"/>
      <c r="E2" s="38"/>
      <c r="F2" s="38"/>
      <c r="G2" s="39"/>
      <c r="I2" s="36"/>
      <c r="J2" s="37"/>
      <c r="K2" s="37"/>
      <c r="L2" s="38"/>
      <c r="M2" s="38"/>
      <c r="N2" s="38"/>
      <c r="O2" s="39"/>
      <c r="P2" s="137"/>
      <c r="R2" s="36"/>
      <c r="S2" s="37"/>
      <c r="T2" s="37"/>
      <c r="U2" s="38"/>
      <c r="V2" s="38"/>
      <c r="W2" s="38"/>
      <c r="X2" s="39"/>
      <c r="Y2" s="137"/>
      <c r="AA2" s="36"/>
      <c r="AB2" s="37"/>
      <c r="AC2" s="37"/>
      <c r="AD2" s="38"/>
      <c r="AE2" s="38"/>
      <c r="AF2" s="38"/>
      <c r="AG2" s="39"/>
      <c r="AJ2" s="36"/>
      <c r="AK2" s="37"/>
      <c r="AL2" s="37"/>
      <c r="AM2" s="38"/>
      <c r="AN2" s="38"/>
      <c r="AO2" s="38"/>
      <c r="AP2" s="39"/>
      <c r="AS2" s="36"/>
      <c r="AT2" s="37"/>
      <c r="AU2" s="37"/>
      <c r="AV2" s="38"/>
      <c r="AW2" s="38"/>
      <c r="AX2" s="38"/>
      <c r="AY2" s="39"/>
    </row>
    <row r="3" spans="1:52" ht="14.4" customHeight="1" thickBot="1" x14ac:dyDescent="0.35">
      <c r="A3" s="40"/>
      <c r="B3" s="979" t="s">
        <v>953</v>
      </c>
      <c r="C3" s="980"/>
      <c r="D3" s="980"/>
      <c r="E3" s="980"/>
      <c r="F3" s="981"/>
      <c r="G3" s="41"/>
      <c r="I3" s="40"/>
      <c r="J3" s="979" t="s">
        <v>234</v>
      </c>
      <c r="K3" s="980"/>
      <c r="L3" s="980"/>
      <c r="M3" s="980"/>
      <c r="N3" s="981"/>
      <c r="O3" s="41"/>
      <c r="P3" s="138"/>
      <c r="R3" s="40"/>
      <c r="S3" s="979" t="s">
        <v>235</v>
      </c>
      <c r="T3" s="980"/>
      <c r="U3" s="980"/>
      <c r="V3" s="980"/>
      <c r="W3" s="981"/>
      <c r="X3" s="41"/>
      <c r="Y3" s="138"/>
      <c r="AA3" s="40"/>
      <c r="AB3" s="979" t="s">
        <v>236</v>
      </c>
      <c r="AC3" s="980"/>
      <c r="AD3" s="980"/>
      <c r="AE3" s="980"/>
      <c r="AF3" s="981"/>
      <c r="AG3" s="41"/>
      <c r="AJ3" s="40"/>
      <c r="AK3" s="979" t="s">
        <v>237</v>
      </c>
      <c r="AL3" s="980"/>
      <c r="AM3" s="980"/>
      <c r="AN3" s="980"/>
      <c r="AO3" s="981"/>
      <c r="AP3" s="41"/>
      <c r="AS3" s="40"/>
      <c r="AT3" s="979" t="s">
        <v>238</v>
      </c>
      <c r="AU3" s="980"/>
      <c r="AV3" s="980"/>
      <c r="AW3" s="980"/>
      <c r="AX3" s="981"/>
      <c r="AY3" s="41"/>
    </row>
    <row r="4" spans="1:52" ht="14" customHeight="1" x14ac:dyDescent="0.3">
      <c r="A4" s="983"/>
      <c r="B4" s="984"/>
      <c r="C4" s="984"/>
      <c r="D4" s="984"/>
      <c r="E4" s="984"/>
      <c r="F4" s="43"/>
      <c r="G4" s="41"/>
      <c r="I4" s="983"/>
      <c r="J4" s="984"/>
      <c r="K4" s="984"/>
      <c r="L4" s="984"/>
      <c r="M4" s="984"/>
      <c r="N4" s="43"/>
      <c r="O4" s="41"/>
      <c r="P4" s="138"/>
      <c r="R4" s="983"/>
      <c r="S4" s="984"/>
      <c r="T4" s="984"/>
      <c r="U4" s="984"/>
      <c r="V4" s="984"/>
      <c r="W4" s="43"/>
      <c r="X4" s="41"/>
      <c r="Y4" s="138"/>
      <c r="AA4" s="983"/>
      <c r="AB4" s="984"/>
      <c r="AC4" s="984"/>
      <c r="AD4" s="984"/>
      <c r="AE4" s="984"/>
      <c r="AF4" s="43"/>
      <c r="AG4" s="41"/>
      <c r="AJ4" s="983"/>
      <c r="AK4" s="984"/>
      <c r="AL4" s="984"/>
      <c r="AM4" s="984"/>
      <c r="AN4" s="984"/>
      <c r="AO4" s="43"/>
      <c r="AP4" s="41"/>
      <c r="AS4" s="983"/>
      <c r="AT4" s="984"/>
      <c r="AU4" s="984"/>
      <c r="AV4" s="984"/>
      <c r="AW4" s="984"/>
      <c r="AX4" s="43"/>
      <c r="AY4" s="41"/>
    </row>
    <row r="5" spans="1:52" ht="14" customHeight="1" x14ac:dyDescent="0.3">
      <c r="A5" s="42"/>
      <c r="B5" s="982"/>
      <c r="C5" s="982"/>
      <c r="D5" s="982"/>
      <c r="E5" s="982"/>
      <c r="F5" s="43"/>
      <c r="G5" s="41"/>
      <c r="I5" s="42"/>
      <c r="J5" s="982"/>
      <c r="K5" s="982"/>
      <c r="L5" s="982"/>
      <c r="M5" s="982"/>
      <c r="N5" s="43"/>
      <c r="O5" s="41"/>
      <c r="P5" s="138"/>
      <c r="R5" s="42"/>
      <c r="S5" s="982"/>
      <c r="T5" s="982"/>
      <c r="U5" s="982"/>
      <c r="V5" s="982"/>
      <c r="W5" s="43"/>
      <c r="X5" s="41"/>
      <c r="Y5" s="138"/>
      <c r="AA5" s="42"/>
      <c r="AB5" s="982"/>
      <c r="AC5" s="982"/>
      <c r="AD5" s="982"/>
      <c r="AE5" s="982"/>
      <c r="AF5" s="43"/>
      <c r="AG5" s="41"/>
      <c r="AJ5" s="42"/>
      <c r="AK5" s="982"/>
      <c r="AL5" s="982"/>
      <c r="AM5" s="982"/>
      <c r="AN5" s="982"/>
      <c r="AO5" s="43"/>
      <c r="AP5" s="41"/>
      <c r="AS5" s="42"/>
      <c r="AT5" s="982"/>
      <c r="AU5" s="982"/>
      <c r="AV5" s="982"/>
      <c r="AW5" s="982"/>
      <c r="AX5" s="43"/>
      <c r="AY5" s="41"/>
    </row>
    <row r="6" spans="1:52" ht="14.4" customHeight="1" thickBot="1" x14ac:dyDescent="0.35">
      <c r="A6" s="42"/>
      <c r="B6" s="22"/>
      <c r="C6" s="24"/>
      <c r="D6" s="23"/>
      <c r="E6" s="43"/>
      <c r="F6" s="43"/>
      <c r="G6" s="41"/>
      <c r="I6" s="42"/>
      <c r="J6" s="22"/>
      <c r="K6" s="24"/>
      <c r="L6" s="23"/>
      <c r="M6" s="43"/>
      <c r="N6" s="43"/>
      <c r="O6" s="41"/>
      <c r="P6" s="138"/>
      <c r="R6" s="42"/>
      <c r="S6" s="22"/>
      <c r="T6" s="24"/>
      <c r="U6" s="23"/>
      <c r="V6" s="43"/>
      <c r="W6" s="43"/>
      <c r="X6" s="41"/>
      <c r="Y6" s="138"/>
      <c r="AA6" s="42"/>
      <c r="AB6" s="117"/>
      <c r="AC6" s="118"/>
      <c r="AD6" s="30"/>
      <c r="AE6" s="31"/>
      <c r="AF6" s="43"/>
      <c r="AG6" s="41"/>
      <c r="AJ6" s="42"/>
      <c r="AK6" s="117"/>
      <c r="AL6" s="118"/>
      <c r="AM6" s="30"/>
      <c r="AN6" s="31"/>
      <c r="AO6" s="43"/>
      <c r="AP6" s="41"/>
      <c r="AS6" s="42"/>
      <c r="AT6" s="117"/>
      <c r="AU6" s="118"/>
      <c r="AV6" s="30"/>
      <c r="AW6" s="31"/>
      <c r="AX6" s="31"/>
      <c r="AY6" s="41"/>
    </row>
    <row r="7" spans="1:52" ht="26.25" customHeight="1" thickBot="1" x14ac:dyDescent="0.35">
      <c r="A7" s="42"/>
      <c r="B7" s="987" t="s">
        <v>239</v>
      </c>
      <c r="C7" s="987"/>
      <c r="D7" s="937">
        <v>6962120</v>
      </c>
      <c r="E7" s="989"/>
      <c r="F7" s="990"/>
      <c r="G7" s="41"/>
      <c r="I7" s="42"/>
      <c r="J7" s="987" t="s">
        <v>239</v>
      </c>
      <c r="K7" s="987"/>
      <c r="L7" s="115">
        <v>6962120</v>
      </c>
      <c r="M7" s="144"/>
      <c r="N7" s="145"/>
      <c r="O7" s="41"/>
      <c r="P7" s="138"/>
      <c r="R7" s="42"/>
      <c r="S7" s="987" t="s">
        <v>239</v>
      </c>
      <c r="T7" s="987"/>
      <c r="U7" s="115">
        <f>(808580+127266)+(1412670+125343)+(1749850+125948)+(1833400+126710)</f>
        <v>6309767</v>
      </c>
      <c r="V7" s="144"/>
      <c r="W7" s="145"/>
      <c r="X7" s="41"/>
      <c r="Y7" s="138"/>
      <c r="AA7" s="42"/>
      <c r="AB7" s="988" t="s">
        <v>239</v>
      </c>
      <c r="AC7" s="988"/>
      <c r="AD7" s="119">
        <f>(808580+127266)+(1412670+125343)+(1749850+125948)</f>
        <v>4349657</v>
      </c>
      <c r="AE7" s="31"/>
      <c r="AF7" s="43"/>
      <c r="AG7" s="41"/>
      <c r="AJ7" s="42"/>
      <c r="AK7" s="988" t="s">
        <v>239</v>
      </c>
      <c r="AL7" s="988"/>
      <c r="AM7" s="119">
        <f>808580+127266+1412670+125343</f>
        <v>2473859</v>
      </c>
      <c r="AN7" s="31"/>
      <c r="AO7" s="43"/>
      <c r="AP7" s="41"/>
      <c r="AS7" s="42"/>
      <c r="AT7" s="988" t="s">
        <v>239</v>
      </c>
      <c r="AU7" s="988"/>
      <c r="AV7" s="119">
        <f>808580+127266+1412670+125343</f>
        <v>2473859</v>
      </c>
      <c r="AW7" s="31"/>
      <c r="AX7" s="31"/>
      <c r="AY7" s="41"/>
    </row>
    <row r="8" spans="1:52" ht="14.4" customHeight="1" thickBot="1" x14ac:dyDescent="0.35">
      <c r="A8" s="42"/>
      <c r="B8" s="985" t="s">
        <v>240</v>
      </c>
      <c r="C8" s="985"/>
      <c r="D8" s="985"/>
      <c r="E8" s="985"/>
      <c r="F8" s="43"/>
      <c r="G8" s="41"/>
      <c r="I8" s="42"/>
      <c r="J8" s="985" t="s">
        <v>240</v>
      </c>
      <c r="K8" s="985"/>
      <c r="L8" s="985"/>
      <c r="M8" s="985"/>
      <c r="N8" s="43"/>
      <c r="O8" s="41"/>
      <c r="P8" s="138"/>
      <c r="R8" s="42"/>
      <c r="S8" s="985" t="s">
        <v>240</v>
      </c>
      <c r="T8" s="985"/>
      <c r="U8" s="985"/>
      <c r="V8" s="985"/>
      <c r="W8" s="43"/>
      <c r="X8" s="41"/>
      <c r="Y8" s="138"/>
      <c r="AA8" s="42"/>
      <c r="AB8" s="986" t="s">
        <v>240</v>
      </c>
      <c r="AC8" s="986"/>
      <c r="AD8" s="986"/>
      <c r="AE8" s="986"/>
      <c r="AF8" s="43"/>
      <c r="AG8" s="41"/>
      <c r="AJ8" s="42"/>
      <c r="AK8" s="986" t="s">
        <v>240</v>
      </c>
      <c r="AL8" s="986"/>
      <c r="AM8" s="986"/>
      <c r="AN8" s="986"/>
      <c r="AO8" s="43"/>
      <c r="AP8" s="41"/>
      <c r="AS8" s="42"/>
      <c r="AT8" s="986" t="s">
        <v>240</v>
      </c>
      <c r="AU8" s="986"/>
      <c r="AV8" s="986"/>
      <c r="AW8" s="986"/>
      <c r="AX8" s="31"/>
      <c r="AY8" s="41"/>
    </row>
    <row r="9" spans="1:52" ht="40.5" customHeight="1" thickBot="1" x14ac:dyDescent="0.35">
      <c r="A9" s="42"/>
      <c r="B9" s="987" t="s">
        <v>954</v>
      </c>
      <c r="C9" s="987"/>
      <c r="D9" s="995">
        <f>4304646+834466</f>
        <v>5139112</v>
      </c>
      <c r="E9" s="996"/>
      <c r="F9" s="43"/>
      <c r="G9" s="41"/>
      <c r="H9" s="121">
        <f>D9/D7</f>
        <v>0.73815332111483278</v>
      </c>
      <c r="I9" s="42"/>
      <c r="J9" s="987" t="s">
        <v>241</v>
      </c>
      <c r="K9" s="987"/>
      <c r="L9" s="995">
        <f>2270953+2033693</f>
        <v>4304646</v>
      </c>
      <c r="M9" s="996"/>
      <c r="N9" s="43"/>
      <c r="O9" s="41"/>
      <c r="P9" s="121">
        <f>+L9/L7</f>
        <v>0.61829528936588285</v>
      </c>
      <c r="R9" s="42"/>
      <c r="S9" s="987" t="s">
        <v>242</v>
      </c>
      <c r="T9" s="987"/>
      <c r="U9" s="995">
        <f>+AD9+V32</f>
        <v>2270953.1269999999</v>
      </c>
      <c r="V9" s="996"/>
      <c r="W9" s="43"/>
      <c r="X9" s="41"/>
      <c r="Y9" s="121">
        <f>+U9/U7</f>
        <v>0.35991077435981389</v>
      </c>
      <c r="AA9" s="42"/>
      <c r="AB9" s="988" t="s">
        <v>243</v>
      </c>
      <c r="AC9" s="988"/>
      <c r="AD9" s="991">
        <v>1417113</v>
      </c>
      <c r="AE9" s="992"/>
      <c r="AF9" s="43"/>
      <c r="AG9" s="41"/>
      <c r="AH9" s="120">
        <f>AD9/AD7</f>
        <v>0.32579879287033436</v>
      </c>
      <c r="AJ9" s="42"/>
      <c r="AK9" s="988" t="s">
        <v>244</v>
      </c>
      <c r="AL9" s="988"/>
      <c r="AM9" s="991">
        <f>+AN35+AW35</f>
        <v>853666.33</v>
      </c>
      <c r="AN9" s="992"/>
      <c r="AO9" s="43"/>
      <c r="AP9" s="41"/>
      <c r="AQ9" s="120">
        <f>AM9/AM7</f>
        <v>0.34507477184431284</v>
      </c>
      <c r="AS9" s="42"/>
      <c r="AT9" s="988" t="s">
        <v>245</v>
      </c>
      <c r="AU9" s="988"/>
      <c r="AV9" s="993">
        <f>+AW35</f>
        <v>292647.59999999998</v>
      </c>
      <c r="AW9" s="994"/>
      <c r="AX9" s="31"/>
      <c r="AY9" s="41"/>
      <c r="AZ9" s="121">
        <f>+AV9/AV7</f>
        <v>0.11829599019184196</v>
      </c>
    </row>
    <row r="10" spans="1:52" ht="127" customHeight="1" thickBot="1" x14ac:dyDescent="0.35">
      <c r="A10" s="42"/>
      <c r="B10" s="987" t="s">
        <v>246</v>
      </c>
      <c r="C10" s="987"/>
      <c r="D10" s="999" t="s">
        <v>1635</v>
      </c>
      <c r="E10" s="1000"/>
      <c r="F10" s="43"/>
      <c r="G10" s="41"/>
      <c r="I10" s="42"/>
      <c r="J10" s="987" t="s">
        <v>246</v>
      </c>
      <c r="K10" s="987"/>
      <c r="L10" s="999" t="s">
        <v>247</v>
      </c>
      <c r="M10" s="1000"/>
      <c r="N10" s="43"/>
      <c r="O10" s="41"/>
      <c r="P10" s="138"/>
      <c r="R10" s="42"/>
      <c r="S10" s="987" t="s">
        <v>246</v>
      </c>
      <c r="T10" s="987"/>
      <c r="U10" s="999" t="s">
        <v>1634</v>
      </c>
      <c r="V10" s="1000"/>
      <c r="W10" s="43"/>
      <c r="X10" s="41"/>
      <c r="Y10" s="138"/>
      <c r="AA10" s="42"/>
      <c r="AB10" s="988" t="s">
        <v>246</v>
      </c>
      <c r="AC10" s="988"/>
      <c r="AD10" s="997" t="s">
        <v>248</v>
      </c>
      <c r="AE10" s="998"/>
      <c r="AF10" s="43"/>
      <c r="AG10" s="41"/>
      <c r="AJ10" s="42"/>
      <c r="AK10" s="988" t="s">
        <v>246</v>
      </c>
      <c r="AL10" s="988"/>
      <c r="AM10" s="997" t="s">
        <v>249</v>
      </c>
      <c r="AN10" s="998"/>
      <c r="AO10" s="43"/>
      <c r="AP10" s="41"/>
      <c r="AS10" s="42"/>
      <c r="AT10" s="988" t="s">
        <v>246</v>
      </c>
      <c r="AU10" s="988"/>
      <c r="AV10" s="997" t="s">
        <v>250</v>
      </c>
      <c r="AW10" s="998"/>
      <c r="AX10" s="31"/>
      <c r="AY10" s="41"/>
    </row>
    <row r="11" spans="1:52" ht="14.5" thickBot="1" x14ac:dyDescent="0.35">
      <c r="A11" s="42"/>
      <c r="B11" s="24"/>
      <c r="C11" s="24"/>
      <c r="D11" s="43"/>
      <c r="E11" s="43"/>
      <c r="F11" s="43"/>
      <c r="G11" s="41"/>
      <c r="I11" s="42"/>
      <c r="J11" s="24"/>
      <c r="K11" s="24"/>
      <c r="L11" s="43"/>
      <c r="M11" s="43"/>
      <c r="N11" s="43"/>
      <c r="O11" s="41"/>
      <c r="P11" s="138"/>
      <c r="R11" s="42"/>
      <c r="S11" s="24"/>
      <c r="T11" s="24"/>
      <c r="U11" s="43"/>
      <c r="V11" s="43"/>
      <c r="W11" s="43"/>
      <c r="X11" s="41"/>
      <c r="Y11" s="138"/>
      <c r="AA11" s="42"/>
      <c r="AB11" s="362"/>
      <c r="AC11" s="362"/>
      <c r="AD11" s="362"/>
      <c r="AE11" s="362"/>
      <c r="AF11" s="43"/>
      <c r="AG11" s="41"/>
      <c r="AJ11" s="42"/>
      <c r="AK11" s="118"/>
      <c r="AL11" s="118"/>
      <c r="AM11" s="31"/>
      <c r="AN11" s="31"/>
      <c r="AO11" s="43"/>
      <c r="AP11" s="41"/>
      <c r="AS11" s="42"/>
      <c r="AT11" s="118"/>
      <c r="AU11" s="118"/>
      <c r="AV11" s="31"/>
      <c r="AW11" s="31"/>
      <c r="AX11" s="31"/>
      <c r="AY11" s="41"/>
    </row>
    <row r="12" spans="1:52" ht="15.75" customHeight="1" thickBot="1" x14ac:dyDescent="0.35">
      <c r="A12" s="42"/>
      <c r="B12" s="987" t="s">
        <v>251</v>
      </c>
      <c r="C12" s="987"/>
      <c r="D12" s="1002">
        <v>0</v>
      </c>
      <c r="E12" s="1003"/>
      <c r="F12" s="43"/>
      <c r="G12" s="41"/>
      <c r="I12" s="42"/>
      <c r="J12" s="987" t="s">
        <v>251</v>
      </c>
      <c r="K12" s="987"/>
      <c r="L12" s="1002">
        <v>0</v>
      </c>
      <c r="M12" s="1003"/>
      <c r="N12" s="43"/>
      <c r="O12" s="41"/>
      <c r="P12" s="138"/>
      <c r="R12" s="42"/>
      <c r="S12" s="987" t="s">
        <v>251</v>
      </c>
      <c r="T12" s="987"/>
      <c r="U12" s="1002">
        <v>0</v>
      </c>
      <c r="V12" s="1003"/>
      <c r="W12" s="43"/>
      <c r="X12" s="41"/>
      <c r="Y12" s="138"/>
      <c r="AA12" s="42"/>
      <c r="AB12" s="362"/>
      <c r="AC12" s="362"/>
      <c r="AD12" s="362"/>
      <c r="AE12" s="362"/>
      <c r="AF12" s="43"/>
      <c r="AG12" s="41"/>
      <c r="AJ12" s="42"/>
      <c r="AK12" s="118"/>
      <c r="AL12" s="118"/>
      <c r="AM12" s="31"/>
      <c r="AN12" s="31"/>
      <c r="AO12" s="43"/>
      <c r="AP12" s="41"/>
      <c r="AS12" s="42"/>
      <c r="AT12" s="118"/>
      <c r="AU12" s="118"/>
      <c r="AV12" s="31"/>
      <c r="AW12" s="31"/>
      <c r="AX12" s="31"/>
      <c r="AY12" s="41"/>
    </row>
    <row r="13" spans="1:52" ht="15" customHeight="1" x14ac:dyDescent="0.3">
      <c r="A13" s="42"/>
      <c r="B13" s="1001" t="s">
        <v>252</v>
      </c>
      <c r="C13" s="1001"/>
      <c r="D13" s="1001"/>
      <c r="E13" s="1001"/>
      <c r="F13" s="43"/>
      <c r="G13" s="41"/>
      <c r="I13" s="42"/>
      <c r="J13" s="1001" t="s">
        <v>252</v>
      </c>
      <c r="K13" s="1001"/>
      <c r="L13" s="1001"/>
      <c r="M13" s="1001"/>
      <c r="N13" s="43"/>
      <c r="O13" s="41"/>
      <c r="P13" s="138"/>
      <c r="R13" s="42"/>
      <c r="S13" s="1001" t="s">
        <v>252</v>
      </c>
      <c r="T13" s="1001"/>
      <c r="U13" s="1001"/>
      <c r="V13" s="1001"/>
      <c r="W13" s="43"/>
      <c r="X13" s="41"/>
      <c r="Y13" s="138"/>
      <c r="AA13" s="42"/>
      <c r="AB13" s="362"/>
      <c r="AC13" s="362"/>
      <c r="AD13" s="362"/>
      <c r="AE13" s="362"/>
      <c r="AF13" s="43"/>
      <c r="AG13" s="41"/>
      <c r="AJ13" s="42"/>
      <c r="AK13" s="118"/>
      <c r="AL13" s="118"/>
      <c r="AM13" s="31"/>
      <c r="AN13" s="31"/>
      <c r="AO13" s="43"/>
      <c r="AP13" s="41"/>
      <c r="AS13" s="42"/>
      <c r="AT13" s="118"/>
      <c r="AU13" s="118"/>
      <c r="AV13" s="31"/>
      <c r="AW13" s="31"/>
      <c r="AX13" s="31"/>
      <c r="AY13" s="41"/>
    </row>
    <row r="14" spans="1:52" x14ac:dyDescent="0.3">
      <c r="A14" s="42"/>
      <c r="B14" s="150"/>
      <c r="C14" s="150"/>
      <c r="D14" s="150"/>
      <c r="E14" s="150"/>
      <c r="F14" s="43"/>
      <c r="G14" s="41"/>
      <c r="I14" s="42"/>
      <c r="J14" s="150"/>
      <c r="K14" s="150"/>
      <c r="L14" s="150"/>
      <c r="M14" s="150"/>
      <c r="N14" s="43"/>
      <c r="O14" s="41"/>
      <c r="P14" s="138"/>
      <c r="R14" s="42"/>
      <c r="S14" s="150"/>
      <c r="T14" s="150"/>
      <c r="U14" s="150"/>
      <c r="V14" s="150"/>
      <c r="W14" s="43"/>
      <c r="X14" s="41"/>
      <c r="Y14" s="138"/>
      <c r="AA14" s="42"/>
      <c r="AB14" s="362"/>
      <c r="AC14" s="362"/>
      <c r="AD14" s="362"/>
      <c r="AE14" s="362"/>
      <c r="AF14" s="43"/>
      <c r="AG14" s="41"/>
      <c r="AJ14" s="42"/>
      <c r="AK14" s="118"/>
      <c r="AL14" s="118"/>
      <c r="AM14" s="31"/>
      <c r="AN14" s="31"/>
      <c r="AO14" s="43"/>
      <c r="AP14" s="41"/>
      <c r="AS14" s="42"/>
      <c r="AT14" s="118"/>
      <c r="AU14" s="118"/>
      <c r="AV14" s="31"/>
      <c r="AW14" s="31"/>
      <c r="AX14" s="31"/>
      <c r="AY14" s="41"/>
    </row>
    <row r="15" spans="1:52" ht="15.75" customHeight="1" thickBot="1" x14ac:dyDescent="0.35">
      <c r="A15" s="42"/>
      <c r="B15" s="987" t="s">
        <v>253</v>
      </c>
      <c r="C15" s="987"/>
      <c r="D15" s="43"/>
      <c r="E15" s="43"/>
      <c r="F15" s="43"/>
      <c r="G15" s="41"/>
      <c r="I15" s="42"/>
      <c r="J15" s="987" t="s">
        <v>253</v>
      </c>
      <c r="K15" s="987"/>
      <c r="L15" s="43"/>
      <c r="M15" s="43"/>
      <c r="N15" s="43"/>
      <c r="O15" s="41"/>
      <c r="P15" s="138"/>
      <c r="R15" s="42"/>
      <c r="S15" s="987" t="s">
        <v>253</v>
      </c>
      <c r="T15" s="987"/>
      <c r="U15" s="43"/>
      <c r="V15" s="43"/>
      <c r="W15" s="43"/>
      <c r="X15" s="41"/>
      <c r="Y15" s="138"/>
      <c r="AA15" s="42"/>
      <c r="AB15" s="988" t="s">
        <v>253</v>
      </c>
      <c r="AC15" s="988"/>
      <c r="AD15" s="31"/>
      <c r="AE15" s="31"/>
      <c r="AF15" s="43"/>
      <c r="AG15" s="41"/>
      <c r="AI15" s="14"/>
      <c r="AJ15" s="42"/>
      <c r="AK15" s="988" t="s">
        <v>253</v>
      </c>
      <c r="AL15" s="988"/>
      <c r="AM15" s="31"/>
      <c r="AN15" s="31"/>
      <c r="AO15" s="43"/>
      <c r="AP15" s="41"/>
      <c r="AS15" s="42"/>
      <c r="AT15" s="988" t="s">
        <v>253</v>
      </c>
      <c r="AU15" s="988"/>
      <c r="AV15" s="31"/>
      <c r="AW15" s="31"/>
      <c r="AX15" s="31"/>
      <c r="AY15" s="41"/>
    </row>
    <row r="16" spans="1:52" ht="43.5" customHeight="1" thickBot="1" x14ac:dyDescent="0.35">
      <c r="A16" s="42"/>
      <c r="B16" s="987" t="s">
        <v>254</v>
      </c>
      <c r="C16" s="987"/>
      <c r="D16" s="68" t="s">
        <v>255</v>
      </c>
      <c r="E16" s="116" t="s">
        <v>256</v>
      </c>
      <c r="F16" s="43"/>
      <c r="G16" s="41"/>
      <c r="I16" s="42"/>
      <c r="J16" s="987" t="s">
        <v>254</v>
      </c>
      <c r="K16" s="987"/>
      <c r="L16" s="68" t="s">
        <v>255</v>
      </c>
      <c r="M16" s="116" t="s">
        <v>256</v>
      </c>
      <c r="N16" s="43"/>
      <c r="O16" s="41"/>
      <c r="P16" s="138"/>
      <c r="R16" s="42"/>
      <c r="S16" s="987" t="s">
        <v>254</v>
      </c>
      <c r="T16" s="987"/>
      <c r="U16" s="68" t="s">
        <v>255</v>
      </c>
      <c r="V16" s="116" t="s">
        <v>256</v>
      </c>
      <c r="W16" s="43"/>
      <c r="X16" s="41"/>
      <c r="Y16" s="138"/>
      <c r="AA16" s="42"/>
      <c r="AB16" s="988" t="s">
        <v>254</v>
      </c>
      <c r="AC16" s="988"/>
      <c r="AD16" s="122" t="s">
        <v>255</v>
      </c>
      <c r="AE16" s="123" t="s">
        <v>256</v>
      </c>
      <c r="AF16" s="43"/>
      <c r="AG16" s="41"/>
      <c r="AI16" s="14"/>
      <c r="AJ16" s="42"/>
      <c r="AK16" s="988" t="s">
        <v>254</v>
      </c>
      <c r="AL16" s="988"/>
      <c r="AM16" s="122" t="s">
        <v>255</v>
      </c>
      <c r="AN16" s="123" t="s">
        <v>256</v>
      </c>
      <c r="AO16" s="43"/>
      <c r="AP16" s="41"/>
      <c r="AS16" s="42"/>
      <c r="AT16" s="988" t="s">
        <v>254</v>
      </c>
      <c r="AU16" s="988"/>
      <c r="AV16" s="122" t="s">
        <v>255</v>
      </c>
      <c r="AW16" s="123" t="s">
        <v>256</v>
      </c>
      <c r="AX16" s="31"/>
      <c r="AY16" s="41"/>
    </row>
    <row r="17" spans="1:53" ht="78" customHeight="1" x14ac:dyDescent="0.3">
      <c r="A17" s="42"/>
      <c r="B17" s="24"/>
      <c r="C17" s="24"/>
      <c r="D17" s="365" t="s">
        <v>257</v>
      </c>
      <c r="E17" s="134">
        <v>2036.04</v>
      </c>
      <c r="F17" s="43"/>
      <c r="G17" s="41"/>
      <c r="I17" s="42"/>
      <c r="J17" s="24"/>
      <c r="K17" s="24"/>
      <c r="L17" s="365" t="s">
        <v>257</v>
      </c>
      <c r="M17" s="134">
        <v>0</v>
      </c>
      <c r="N17" s="43"/>
      <c r="O17" s="41"/>
      <c r="P17" s="138"/>
      <c r="R17" s="42"/>
      <c r="S17" s="24"/>
      <c r="T17" s="24"/>
      <c r="U17" s="365" t="s">
        <v>257</v>
      </c>
      <c r="V17" s="134">
        <v>1696.28</v>
      </c>
      <c r="W17" s="43"/>
      <c r="X17" s="41"/>
      <c r="Y17" s="138"/>
      <c r="AA17" s="42"/>
      <c r="AB17" s="118"/>
      <c r="AC17" s="118"/>
      <c r="AD17" s="366" t="s">
        <v>257</v>
      </c>
      <c r="AE17" s="367">
        <v>0</v>
      </c>
      <c r="AF17" s="43"/>
      <c r="AG17" s="41"/>
      <c r="AI17" s="14"/>
      <c r="AJ17" s="42"/>
      <c r="AK17" s="118"/>
      <c r="AL17" s="118"/>
      <c r="AM17" s="366" t="s">
        <v>257</v>
      </c>
      <c r="AN17" s="367">
        <v>30409.68</v>
      </c>
      <c r="AO17" s="43"/>
      <c r="AP17" s="41"/>
      <c r="AS17" s="42"/>
      <c r="AT17" s="118"/>
      <c r="AU17" s="118"/>
      <c r="AV17" s="366" t="s">
        <v>257</v>
      </c>
      <c r="AW17" s="367">
        <v>18158</v>
      </c>
      <c r="AX17" s="31"/>
      <c r="AY17" s="41"/>
      <c r="BA17" s="237"/>
    </row>
    <row r="18" spans="1:53" ht="42" x14ac:dyDescent="0.3">
      <c r="A18" s="42"/>
      <c r="B18" s="24"/>
      <c r="C18" s="24"/>
      <c r="D18" s="931" t="s">
        <v>258</v>
      </c>
      <c r="E18" s="932">
        <v>4076.77</v>
      </c>
      <c r="F18" s="43"/>
      <c r="G18" s="41"/>
      <c r="I18" s="42"/>
      <c r="J18" s="24"/>
      <c r="K18" s="24"/>
      <c r="L18" s="366" t="s">
        <v>258</v>
      </c>
      <c r="M18" s="368">
        <f>1692.01-0.16</f>
        <v>1691.85</v>
      </c>
      <c r="N18" s="43"/>
      <c r="O18" s="41"/>
      <c r="P18" s="138"/>
      <c r="R18" s="42"/>
      <c r="S18" s="24"/>
      <c r="T18" s="24"/>
      <c r="U18" s="366" t="s">
        <v>258</v>
      </c>
      <c r="V18" s="368">
        <v>2544.42</v>
      </c>
      <c r="W18" s="43"/>
      <c r="X18" s="41"/>
      <c r="Y18" s="138"/>
      <c r="AA18" s="42"/>
      <c r="AB18" s="118"/>
      <c r="AC18" s="118"/>
      <c r="AD18" s="366" t="s">
        <v>258</v>
      </c>
      <c r="AE18" s="367">
        <v>2566.752</v>
      </c>
      <c r="AF18" s="43"/>
      <c r="AG18" s="41"/>
      <c r="AI18" s="14"/>
      <c r="AJ18" s="42"/>
      <c r="AK18" s="118"/>
      <c r="AL18" s="118"/>
      <c r="AM18" s="366" t="s">
        <v>258</v>
      </c>
      <c r="AN18" s="367">
        <v>32778.21</v>
      </c>
      <c r="AO18" s="43"/>
      <c r="AP18" s="41"/>
      <c r="AS18" s="42"/>
      <c r="AT18" s="118"/>
      <c r="AU18" s="118"/>
      <c r="AV18" s="366" t="s">
        <v>258</v>
      </c>
      <c r="AW18" s="367">
        <v>11342</v>
      </c>
      <c r="AX18" s="31"/>
      <c r="AY18" s="41"/>
      <c r="BA18" s="237"/>
    </row>
    <row r="19" spans="1:53" ht="42" x14ac:dyDescent="0.3">
      <c r="A19" s="42"/>
      <c r="B19" s="24"/>
      <c r="C19" s="24"/>
      <c r="D19" s="931" t="s">
        <v>259</v>
      </c>
      <c r="E19" s="932">
        <v>1247.6099999999999</v>
      </c>
      <c r="F19" s="43"/>
      <c r="G19" s="41"/>
      <c r="I19" s="42"/>
      <c r="J19" s="24"/>
      <c r="K19" s="24"/>
      <c r="L19" s="366" t="s">
        <v>259</v>
      </c>
      <c r="M19" s="368">
        <f>6768+904.86</f>
        <v>7672.86</v>
      </c>
      <c r="N19" s="43"/>
      <c r="O19" s="41"/>
      <c r="P19" s="138"/>
      <c r="R19" s="42"/>
      <c r="S19" s="24"/>
      <c r="T19" s="24"/>
      <c r="U19" s="366" t="s">
        <v>259</v>
      </c>
      <c r="V19" s="368">
        <v>7915.96</v>
      </c>
      <c r="W19" s="43"/>
      <c r="X19" s="41"/>
      <c r="Y19" s="138"/>
      <c r="AA19" s="42"/>
      <c r="AB19" s="118"/>
      <c r="AC19" s="118"/>
      <c r="AD19" s="366" t="s">
        <v>259</v>
      </c>
      <c r="AE19" s="367">
        <v>7700.26</v>
      </c>
      <c r="AF19" s="43"/>
      <c r="AG19" s="41"/>
      <c r="AI19" s="14"/>
      <c r="AJ19" s="42"/>
      <c r="AK19" s="118"/>
      <c r="AL19" s="118"/>
      <c r="AM19" s="366" t="s">
        <v>259</v>
      </c>
      <c r="AN19" s="367">
        <v>7934.31</v>
      </c>
      <c r="AO19" s="43"/>
      <c r="AP19" s="41"/>
      <c r="AS19" s="42"/>
      <c r="AT19" s="118"/>
      <c r="AU19" s="118"/>
      <c r="AV19" s="366" t="s">
        <v>259</v>
      </c>
      <c r="AW19" s="367">
        <v>1829</v>
      </c>
      <c r="AX19" s="31"/>
      <c r="AY19" s="41"/>
      <c r="BA19" s="237"/>
    </row>
    <row r="20" spans="1:53" ht="70" x14ac:dyDescent="0.3">
      <c r="A20" s="42"/>
      <c r="B20" s="24"/>
      <c r="C20" s="24"/>
      <c r="D20" s="931" t="s">
        <v>260</v>
      </c>
      <c r="E20" s="932">
        <v>15571.06</v>
      </c>
      <c r="F20" s="43"/>
      <c r="G20" s="41"/>
      <c r="I20" s="42"/>
      <c r="J20" s="24"/>
      <c r="K20" s="24"/>
      <c r="L20" s="366" t="s">
        <v>260</v>
      </c>
      <c r="M20" s="368">
        <f>3234.31-3234.31</f>
        <v>0</v>
      </c>
      <c r="N20" s="43"/>
      <c r="O20" s="41"/>
      <c r="P20" s="138"/>
      <c r="R20" s="42"/>
      <c r="S20" s="24"/>
      <c r="T20" s="24"/>
      <c r="U20" s="366" t="s">
        <v>260</v>
      </c>
      <c r="V20" s="368">
        <v>2261.6999999999998</v>
      </c>
      <c r="W20" s="43"/>
      <c r="X20" s="41"/>
      <c r="Y20" s="138"/>
      <c r="AA20" s="42"/>
      <c r="AB20" s="118"/>
      <c r="AC20" s="118"/>
      <c r="AD20" s="366" t="s">
        <v>260</v>
      </c>
      <c r="AE20" s="367">
        <v>29644.22</v>
      </c>
      <c r="AF20" s="43"/>
      <c r="AG20" s="41"/>
      <c r="AI20" s="14"/>
      <c r="AJ20" s="42"/>
      <c r="AK20" s="118"/>
      <c r="AL20" s="118"/>
      <c r="AM20" s="366" t="s">
        <v>261</v>
      </c>
      <c r="AN20" s="367">
        <v>139481.01999999999</v>
      </c>
      <c r="AO20" s="43"/>
      <c r="AP20" s="41"/>
      <c r="AS20" s="42"/>
      <c r="AT20" s="118"/>
      <c r="AU20" s="118"/>
      <c r="AV20" s="366" t="s">
        <v>261</v>
      </c>
      <c r="AW20" s="367">
        <v>76042</v>
      </c>
      <c r="AX20" s="31"/>
      <c r="AY20" s="41"/>
      <c r="BA20" s="237"/>
    </row>
    <row r="21" spans="1:53" ht="42" x14ac:dyDescent="0.3">
      <c r="A21" s="42"/>
      <c r="B21" s="24"/>
      <c r="C21" s="24"/>
      <c r="D21" s="931" t="s">
        <v>262</v>
      </c>
      <c r="E21" s="932">
        <v>5380.1</v>
      </c>
      <c r="F21" s="43"/>
      <c r="G21" s="41"/>
      <c r="I21" s="42"/>
      <c r="J21" s="24"/>
      <c r="K21" s="24"/>
      <c r="L21" s="366" t="s">
        <v>262</v>
      </c>
      <c r="M21" s="368">
        <f>5358-0.21-5357.79</f>
        <v>0</v>
      </c>
      <c r="N21" s="43"/>
      <c r="O21" s="41"/>
      <c r="P21" s="138"/>
      <c r="R21" s="42"/>
      <c r="S21" s="24"/>
      <c r="T21" s="24"/>
      <c r="U21" s="366" t="s">
        <v>262</v>
      </c>
      <c r="V21" s="368">
        <v>8198.6769999999997</v>
      </c>
      <c r="W21" s="43"/>
      <c r="X21" s="41"/>
      <c r="Y21" s="138"/>
      <c r="AA21" s="42"/>
      <c r="AB21" s="118"/>
      <c r="AC21" s="118"/>
      <c r="AD21" s="366" t="s">
        <v>262</v>
      </c>
      <c r="AE21" s="367">
        <v>10828.096</v>
      </c>
      <c r="AF21" s="43"/>
      <c r="AG21" s="41"/>
      <c r="AI21" s="14"/>
      <c r="AJ21" s="42"/>
      <c r="AK21" s="118"/>
      <c r="AL21" s="118"/>
      <c r="AM21" s="366" t="s">
        <v>262</v>
      </c>
      <c r="AN21" s="367">
        <v>34928.129999999997</v>
      </c>
      <c r="AO21" s="43"/>
      <c r="AP21" s="41"/>
      <c r="AS21" s="42"/>
      <c r="AT21" s="118"/>
      <c r="AU21" s="118"/>
      <c r="AV21" s="366" t="s">
        <v>262</v>
      </c>
      <c r="AW21" s="367">
        <v>15865</v>
      </c>
      <c r="AX21" s="31"/>
      <c r="AY21" s="41"/>
      <c r="BA21" s="237"/>
    </row>
    <row r="22" spans="1:53" ht="56" x14ac:dyDescent="0.3">
      <c r="A22" s="42"/>
      <c r="B22" s="24"/>
      <c r="C22" s="24"/>
      <c r="D22" s="931" t="s">
        <v>263</v>
      </c>
      <c r="E22" s="961">
        <v>14578.31</v>
      </c>
      <c r="F22" s="43"/>
      <c r="G22" s="41"/>
      <c r="H22" s="942"/>
      <c r="I22" s="42"/>
      <c r="J22" s="24"/>
      <c r="K22" s="24"/>
      <c r="L22" s="366" t="s">
        <v>263</v>
      </c>
      <c r="M22" s="368">
        <f>14100.01+2033.3-14538.26</f>
        <v>1595.0499999999993</v>
      </c>
      <c r="N22" s="43"/>
      <c r="O22" s="41"/>
      <c r="P22" s="138"/>
      <c r="R22" s="42"/>
      <c r="S22" s="24"/>
      <c r="T22" s="24"/>
      <c r="U22" s="366" t="s">
        <v>263</v>
      </c>
      <c r="V22" s="368">
        <v>14135.65</v>
      </c>
      <c r="W22" s="43"/>
      <c r="X22" s="41"/>
      <c r="Y22" s="138"/>
      <c r="AA22" s="42"/>
      <c r="AB22" s="118"/>
      <c r="AC22" s="118"/>
      <c r="AD22" s="366" t="s">
        <v>263</v>
      </c>
      <c r="AE22" s="367">
        <v>19160.88</v>
      </c>
      <c r="AF22" s="43"/>
      <c r="AG22" s="41"/>
      <c r="AI22" s="14"/>
      <c r="AJ22" s="42"/>
      <c r="AK22" s="118"/>
      <c r="AL22" s="118"/>
      <c r="AM22" s="366" t="s">
        <v>264</v>
      </c>
      <c r="AN22" s="367">
        <v>71299.11</v>
      </c>
      <c r="AO22" s="43"/>
      <c r="AP22" s="41"/>
      <c r="AS22" s="42"/>
      <c r="AT22" s="118"/>
      <c r="AU22" s="118"/>
      <c r="AV22" s="366" t="s">
        <v>264</v>
      </c>
      <c r="AW22" s="367">
        <v>29231</v>
      </c>
      <c r="AX22" s="31"/>
      <c r="AY22" s="41"/>
      <c r="BA22" s="237"/>
    </row>
    <row r="23" spans="1:53" ht="42" x14ac:dyDescent="0.3">
      <c r="A23" s="42"/>
      <c r="B23" s="24"/>
      <c r="C23" s="24"/>
      <c r="D23" s="931" t="s">
        <v>265</v>
      </c>
      <c r="E23" s="932">
        <v>6736.79</v>
      </c>
      <c r="F23" s="43"/>
      <c r="G23" s="41"/>
      <c r="I23" s="42"/>
      <c r="J23" s="24"/>
      <c r="K23" s="24"/>
      <c r="L23" s="366" t="s">
        <v>265</v>
      </c>
      <c r="M23" s="368">
        <f>423.57+13.99</f>
        <v>437.56</v>
      </c>
      <c r="N23" s="43"/>
      <c r="O23" s="41"/>
      <c r="P23" s="138"/>
      <c r="R23" s="42"/>
      <c r="S23" s="24"/>
      <c r="T23" s="24"/>
      <c r="U23" s="366" t="s">
        <v>265</v>
      </c>
      <c r="V23" s="368">
        <v>3706.83</v>
      </c>
      <c r="W23" s="43"/>
      <c r="X23" s="41"/>
      <c r="Y23" s="138"/>
      <c r="AA23" s="42"/>
      <c r="AB23" s="118"/>
      <c r="AC23" s="118"/>
      <c r="AD23" s="366" t="s">
        <v>265</v>
      </c>
      <c r="AE23" s="367">
        <v>4882.68</v>
      </c>
      <c r="AF23" s="43"/>
      <c r="AG23" s="41"/>
      <c r="AI23" s="14"/>
      <c r="AJ23" s="42"/>
      <c r="AK23" s="118"/>
      <c r="AL23" s="118"/>
      <c r="AM23" s="366" t="s">
        <v>265</v>
      </c>
      <c r="AN23" s="367">
        <v>13338.14</v>
      </c>
      <c r="AO23" s="43"/>
      <c r="AP23" s="41"/>
      <c r="AS23" s="42"/>
      <c r="AT23" s="118"/>
      <c r="AU23" s="118"/>
      <c r="AV23" s="366" t="s">
        <v>265</v>
      </c>
      <c r="AW23" s="367">
        <v>5898</v>
      </c>
      <c r="AX23" s="31"/>
      <c r="AY23" s="41"/>
      <c r="BA23" s="237"/>
    </row>
    <row r="24" spans="1:53" ht="84" x14ac:dyDescent="0.3">
      <c r="A24" s="42"/>
      <c r="B24" s="24"/>
      <c r="C24" s="24"/>
      <c r="D24" s="931" t="s">
        <v>266</v>
      </c>
      <c r="E24" s="932">
        <v>0</v>
      </c>
      <c r="F24" s="43"/>
      <c r="G24" s="41"/>
      <c r="I24" s="42"/>
      <c r="J24" s="24"/>
      <c r="K24" s="24"/>
      <c r="L24" s="366" t="s">
        <v>266</v>
      </c>
      <c r="M24" s="368">
        <f>346471.34+21893.92</f>
        <v>368365.26</v>
      </c>
      <c r="N24" s="43"/>
      <c r="O24" s="41"/>
      <c r="P24" s="138"/>
      <c r="R24" s="42"/>
      <c r="S24" s="24"/>
      <c r="T24" s="24"/>
      <c r="U24" s="366" t="s">
        <v>266</v>
      </c>
      <c r="V24" s="368">
        <v>78446.06</v>
      </c>
      <c r="W24" s="43"/>
      <c r="X24" s="41"/>
      <c r="Y24" s="138"/>
      <c r="AA24" s="42"/>
      <c r="AB24" s="118"/>
      <c r="AC24" s="118"/>
      <c r="AD24" s="366" t="s">
        <v>266</v>
      </c>
      <c r="AE24" s="367">
        <v>30502.51</v>
      </c>
      <c r="AF24" s="43"/>
      <c r="AG24" s="41"/>
      <c r="AI24" s="14"/>
      <c r="AJ24" s="42"/>
      <c r="AK24" s="118"/>
      <c r="AL24" s="118"/>
      <c r="AM24" s="366" t="s">
        <v>267</v>
      </c>
      <c r="AN24" s="367">
        <v>13338.14</v>
      </c>
      <c r="AO24" s="43"/>
      <c r="AP24" s="41"/>
      <c r="AS24" s="42"/>
      <c r="AT24" s="118"/>
      <c r="AU24" s="118"/>
      <c r="AV24" s="366" t="s">
        <v>267</v>
      </c>
      <c r="AW24" s="367">
        <v>5898</v>
      </c>
      <c r="AX24" s="31"/>
      <c r="AY24" s="41"/>
      <c r="BA24" s="237"/>
    </row>
    <row r="25" spans="1:53" ht="42" x14ac:dyDescent="0.3">
      <c r="A25" s="42"/>
      <c r="B25" s="24"/>
      <c r="C25" s="24"/>
      <c r="D25" s="931" t="s">
        <v>268</v>
      </c>
      <c r="E25" s="932">
        <v>22315.83</v>
      </c>
      <c r="F25" s="43"/>
      <c r="G25" s="41"/>
      <c r="I25" s="42"/>
      <c r="J25" s="24"/>
      <c r="K25" s="24"/>
      <c r="L25" s="366" t="s">
        <v>268</v>
      </c>
      <c r="M25" s="368">
        <f>4690.59+7800.55</f>
        <v>12491.14</v>
      </c>
      <c r="N25" s="43"/>
      <c r="O25" s="41"/>
      <c r="P25" s="138"/>
      <c r="R25" s="42"/>
      <c r="S25" s="24"/>
      <c r="T25" s="24"/>
      <c r="U25" s="366" t="s">
        <v>268</v>
      </c>
      <c r="V25" s="368">
        <v>19755.87</v>
      </c>
      <c r="W25" s="43"/>
      <c r="X25" s="41"/>
      <c r="Y25" s="138"/>
      <c r="AA25" s="42"/>
      <c r="AB25" s="118"/>
      <c r="AC25" s="118"/>
      <c r="AD25" s="366" t="s">
        <v>268</v>
      </c>
      <c r="AE25" s="367">
        <v>20406.21</v>
      </c>
      <c r="AF25" s="43"/>
      <c r="AG25" s="41"/>
      <c r="AI25" s="14"/>
      <c r="AJ25" s="42"/>
      <c r="AK25" s="118"/>
      <c r="AL25" s="118"/>
      <c r="AM25" s="366" t="s">
        <v>269</v>
      </c>
      <c r="AN25" s="367">
        <v>26676.28</v>
      </c>
      <c r="AO25" s="43"/>
      <c r="AP25" s="41"/>
      <c r="AS25" s="42"/>
      <c r="AT25" s="118"/>
      <c r="AU25" s="118"/>
      <c r="AV25" s="366" t="s">
        <v>269</v>
      </c>
      <c r="AW25" s="367">
        <v>11796</v>
      </c>
      <c r="AX25" s="31"/>
      <c r="AY25" s="41"/>
      <c r="BA25" s="237"/>
    </row>
    <row r="26" spans="1:53" ht="42" x14ac:dyDescent="0.3">
      <c r="A26" s="42"/>
      <c r="B26" s="24"/>
      <c r="C26" s="24"/>
      <c r="D26" s="931" t="s">
        <v>270</v>
      </c>
      <c r="E26" s="962">
        <v>83432.56</v>
      </c>
      <c r="F26" s="43"/>
      <c r="G26" s="41"/>
      <c r="H26" s="942"/>
      <c r="I26" s="42"/>
      <c r="J26" s="24"/>
      <c r="K26" s="24"/>
      <c r="L26" s="366" t="s">
        <v>270</v>
      </c>
      <c r="M26" s="368">
        <v>3344</v>
      </c>
      <c r="N26" s="43"/>
      <c r="O26" s="41"/>
      <c r="P26" s="138"/>
      <c r="R26" s="42"/>
      <c r="S26" s="24"/>
      <c r="T26" s="24"/>
      <c r="U26" s="366" t="s">
        <v>270</v>
      </c>
      <c r="V26" s="368">
        <v>22372.99</v>
      </c>
      <c r="W26" s="43"/>
      <c r="X26" s="41"/>
      <c r="Y26" s="138"/>
      <c r="AA26" s="42"/>
      <c r="AB26" s="118"/>
      <c r="AC26" s="118"/>
      <c r="AD26" s="366" t="s">
        <v>270</v>
      </c>
      <c r="AE26" s="367">
        <v>123534.88</v>
      </c>
      <c r="AF26" s="43"/>
      <c r="AG26" s="41"/>
      <c r="AI26" s="14"/>
      <c r="AJ26" s="42"/>
      <c r="AK26" s="118"/>
      <c r="AL26" s="118"/>
      <c r="AM26" s="366" t="s">
        <v>271</v>
      </c>
      <c r="AN26" s="367">
        <v>2644.55</v>
      </c>
      <c r="AO26" s="43"/>
      <c r="AP26" s="41"/>
      <c r="AS26" s="42"/>
      <c r="AT26" s="118"/>
      <c r="AU26" s="118"/>
      <c r="AV26" s="366" t="s">
        <v>271</v>
      </c>
      <c r="AW26" s="367">
        <v>0</v>
      </c>
      <c r="AX26" s="31"/>
      <c r="AY26" s="41"/>
      <c r="BA26" s="237"/>
    </row>
    <row r="27" spans="1:53" ht="70" x14ac:dyDescent="0.3">
      <c r="A27" s="42"/>
      <c r="B27" s="24"/>
      <c r="C27" s="24"/>
      <c r="D27" s="933" t="s">
        <v>272</v>
      </c>
      <c r="E27" s="932">
        <f>53916.73+55.1+17914.47+431682.6</f>
        <v>503568.89999999997</v>
      </c>
      <c r="F27" s="43"/>
      <c r="G27" s="41"/>
      <c r="I27" s="42"/>
      <c r="J27" s="24"/>
      <c r="K27" s="24"/>
      <c r="L27" s="369" t="s">
        <v>272</v>
      </c>
      <c r="M27" s="368">
        <f>1536762.09+62838.99</f>
        <v>1599601.08</v>
      </c>
      <c r="N27" s="43"/>
      <c r="O27" s="41"/>
      <c r="P27" s="138"/>
      <c r="R27" s="42"/>
      <c r="S27" s="24"/>
      <c r="T27" s="24"/>
      <c r="U27" s="369" t="s">
        <v>272</v>
      </c>
      <c r="V27" s="368">
        <f>632526.46-15944.7</f>
        <v>616581.76</v>
      </c>
      <c r="W27" s="43"/>
      <c r="X27" s="41"/>
      <c r="Y27" s="138"/>
      <c r="AA27" s="42"/>
      <c r="AB27" s="118"/>
      <c r="AC27" s="118"/>
      <c r="AD27" s="369" t="s">
        <v>272</v>
      </c>
      <c r="AE27" s="367">
        <v>213703.34</v>
      </c>
      <c r="AF27" s="43"/>
      <c r="AG27" s="41"/>
      <c r="AI27" s="14"/>
      <c r="AJ27" s="42"/>
      <c r="AK27" s="118"/>
      <c r="AL27" s="118"/>
      <c r="AM27" s="366" t="s">
        <v>270</v>
      </c>
      <c r="AN27" s="367">
        <v>86315.57</v>
      </c>
      <c r="AO27" s="43"/>
      <c r="AP27" s="41"/>
      <c r="AS27" s="42"/>
      <c r="AT27" s="118"/>
      <c r="AU27" s="118"/>
      <c r="AV27" s="366" t="s">
        <v>270</v>
      </c>
      <c r="AW27" s="367">
        <v>0</v>
      </c>
      <c r="AX27" s="31"/>
      <c r="AY27" s="41"/>
      <c r="BA27" s="237"/>
    </row>
    <row r="28" spans="1:53" ht="42" x14ac:dyDescent="0.3">
      <c r="A28" s="42"/>
      <c r="B28" s="24"/>
      <c r="C28" s="24"/>
      <c r="D28" s="931" t="s">
        <v>273</v>
      </c>
      <c r="E28" s="932">
        <v>119041.25</v>
      </c>
      <c r="F28" s="43"/>
      <c r="G28" s="41"/>
      <c r="I28" s="42"/>
      <c r="J28" s="24"/>
      <c r="K28" s="24"/>
      <c r="L28" s="366" t="s">
        <v>273</v>
      </c>
      <c r="M28" s="368">
        <v>0</v>
      </c>
      <c r="N28" s="43"/>
      <c r="O28" s="41"/>
      <c r="P28" s="138"/>
      <c r="R28" s="42"/>
      <c r="S28" s="24"/>
      <c r="T28" s="24"/>
      <c r="U28" s="366" t="s">
        <v>273</v>
      </c>
      <c r="V28" s="368">
        <v>0</v>
      </c>
      <c r="W28" s="43"/>
      <c r="X28" s="41"/>
      <c r="Y28" s="138"/>
      <c r="AA28" s="42"/>
      <c r="AB28" s="118"/>
      <c r="AC28" s="118"/>
      <c r="AD28" s="366" t="s">
        <v>273</v>
      </c>
      <c r="AE28" s="367">
        <v>0</v>
      </c>
      <c r="AF28" s="43"/>
      <c r="AG28" s="41"/>
      <c r="AI28" s="14"/>
      <c r="AJ28" s="42"/>
      <c r="AK28" s="118"/>
      <c r="AL28" s="118"/>
      <c r="AM28" s="370" t="s">
        <v>274</v>
      </c>
      <c r="AN28" s="367">
        <v>0</v>
      </c>
      <c r="AO28" s="43"/>
      <c r="AP28" s="41"/>
      <c r="AS28" s="42"/>
      <c r="AT28" s="118"/>
      <c r="AU28" s="118"/>
      <c r="AV28" s="370" t="s">
        <v>274</v>
      </c>
      <c r="AW28" s="367">
        <v>0</v>
      </c>
      <c r="AX28" s="31"/>
      <c r="AY28" s="41"/>
      <c r="BA28" s="237"/>
    </row>
    <row r="29" spans="1:53" ht="56" x14ac:dyDescent="0.3">
      <c r="A29" s="42"/>
      <c r="B29" s="24"/>
      <c r="C29" s="24"/>
      <c r="D29" s="931" t="s">
        <v>275</v>
      </c>
      <c r="E29" s="932">
        <v>0</v>
      </c>
      <c r="F29" s="43"/>
      <c r="G29" s="41"/>
      <c r="I29" s="42"/>
      <c r="J29" s="24"/>
      <c r="K29" s="24"/>
      <c r="L29" s="366" t="s">
        <v>275</v>
      </c>
      <c r="M29" s="368">
        <v>0</v>
      </c>
      <c r="N29" s="43"/>
      <c r="O29" s="41"/>
      <c r="P29" s="138"/>
      <c r="R29" s="42"/>
      <c r="S29" s="24"/>
      <c r="T29" s="24"/>
      <c r="U29" s="366" t="s">
        <v>275</v>
      </c>
      <c r="V29" s="368">
        <v>4257.8999999999996</v>
      </c>
      <c r="W29" s="43"/>
      <c r="X29" s="41"/>
      <c r="Y29" s="138"/>
      <c r="AA29" s="42"/>
      <c r="AB29" s="118"/>
      <c r="AC29" s="118"/>
      <c r="AD29" s="366" t="s">
        <v>275</v>
      </c>
      <c r="AE29" s="367">
        <v>3188.1500000000005</v>
      </c>
      <c r="AF29" s="43"/>
      <c r="AG29" s="41"/>
      <c r="AI29" s="14"/>
      <c r="AJ29" s="42"/>
      <c r="AK29" s="118"/>
      <c r="AL29" s="118"/>
      <c r="AM29" s="370" t="s">
        <v>276</v>
      </c>
      <c r="AN29" s="367">
        <v>0</v>
      </c>
      <c r="AO29" s="43"/>
      <c r="AP29" s="41"/>
      <c r="AS29" s="42"/>
      <c r="AT29" s="118"/>
      <c r="AU29" s="118"/>
      <c r="AV29" s="370" t="s">
        <v>276</v>
      </c>
      <c r="AW29" s="367">
        <v>0</v>
      </c>
      <c r="AX29" s="31"/>
      <c r="AY29" s="41"/>
      <c r="BA29" s="237"/>
    </row>
    <row r="30" spans="1:53" ht="28" x14ac:dyDescent="0.3">
      <c r="A30" s="42"/>
      <c r="B30" s="24"/>
      <c r="C30" s="24"/>
      <c r="D30" s="931" t="s">
        <v>277</v>
      </c>
      <c r="E30" s="932">
        <v>23703.1</v>
      </c>
      <c r="F30" s="43"/>
      <c r="G30" s="41"/>
      <c r="I30" s="42"/>
      <c r="J30" s="24"/>
      <c r="K30" s="24"/>
      <c r="L30" s="366" t="s">
        <v>277</v>
      </c>
      <c r="M30" s="368">
        <f>4560-55.1</f>
        <v>4504.8999999999996</v>
      </c>
      <c r="N30" s="43"/>
      <c r="O30" s="41"/>
      <c r="P30" s="138"/>
      <c r="R30" s="42"/>
      <c r="S30" s="24"/>
      <c r="T30" s="24"/>
      <c r="U30" s="366" t="s">
        <v>277</v>
      </c>
      <c r="V30" s="368">
        <v>0</v>
      </c>
      <c r="W30" s="43"/>
      <c r="X30" s="41"/>
      <c r="Y30" s="138"/>
      <c r="AA30" s="42"/>
      <c r="AB30" s="118"/>
      <c r="AC30" s="118"/>
      <c r="AD30" s="366" t="s">
        <v>277</v>
      </c>
      <c r="AE30" s="367">
        <v>0</v>
      </c>
      <c r="AF30" s="43"/>
      <c r="AG30" s="41"/>
      <c r="AI30" s="14"/>
      <c r="AJ30" s="42"/>
      <c r="AK30" s="118"/>
      <c r="AL30" s="118"/>
      <c r="AM30" s="370" t="s">
        <v>278</v>
      </c>
      <c r="AN30" s="367">
        <v>0</v>
      </c>
      <c r="AO30" s="43"/>
      <c r="AP30" s="41"/>
      <c r="AS30" s="42"/>
      <c r="AT30" s="118"/>
      <c r="AU30" s="118"/>
      <c r="AV30" s="370" t="s">
        <v>278</v>
      </c>
      <c r="AW30" s="367">
        <v>0</v>
      </c>
      <c r="AX30" s="31"/>
      <c r="AY30" s="41"/>
      <c r="BA30" s="237"/>
    </row>
    <row r="31" spans="1:53" ht="42.5" thickBot="1" x14ac:dyDescent="0.35">
      <c r="A31" s="42"/>
      <c r="B31" s="24"/>
      <c r="C31" s="24"/>
      <c r="D31" s="934" t="s">
        <v>279</v>
      </c>
      <c r="E31" s="932">
        <v>32777.89</v>
      </c>
      <c r="F31" s="43"/>
      <c r="G31" s="41"/>
      <c r="I31" s="42"/>
      <c r="J31" s="24"/>
      <c r="K31" s="24"/>
      <c r="L31" s="371" t="s">
        <v>279</v>
      </c>
      <c r="M31" s="368">
        <v>33989.699999999997</v>
      </c>
      <c r="N31" s="43"/>
      <c r="O31" s="41"/>
      <c r="P31" s="138"/>
      <c r="R31" s="42"/>
      <c r="S31" s="24"/>
      <c r="T31" s="24"/>
      <c r="U31" s="371" t="s">
        <v>279</v>
      </c>
      <c r="V31" s="368">
        <v>71966.03</v>
      </c>
      <c r="W31" s="43"/>
      <c r="X31" s="41"/>
      <c r="Y31" s="138"/>
      <c r="AA31" s="42"/>
      <c r="AB31" s="118"/>
      <c r="AC31" s="118"/>
      <c r="AD31" s="371" t="s">
        <v>279</v>
      </c>
      <c r="AE31" s="372">
        <v>97328.739999999991</v>
      </c>
      <c r="AF31" s="43"/>
      <c r="AG31" s="41"/>
      <c r="AI31" s="14"/>
      <c r="AJ31" s="42"/>
      <c r="AK31" s="118"/>
      <c r="AL31" s="118"/>
      <c r="AM31" s="366"/>
      <c r="AN31" s="367"/>
      <c r="AO31" s="43"/>
      <c r="AP31" s="41"/>
      <c r="AS31" s="42"/>
      <c r="AT31" s="118"/>
      <c r="AU31" s="118"/>
      <c r="AV31" s="366" t="s">
        <v>280</v>
      </c>
      <c r="AW31" s="367">
        <v>0</v>
      </c>
      <c r="AX31" s="31"/>
      <c r="AY31" s="41"/>
      <c r="BA31" s="237"/>
    </row>
    <row r="32" spans="1:53" ht="56.5" thickBot="1" x14ac:dyDescent="0.35">
      <c r="A32" s="42"/>
      <c r="B32" s="24"/>
      <c r="C32" s="24"/>
      <c r="D32" s="84" t="s">
        <v>281</v>
      </c>
      <c r="E32" s="135">
        <f>SUM(E17:E31)</f>
        <v>834466.21</v>
      </c>
      <c r="F32" s="43"/>
      <c r="G32" s="41"/>
      <c r="I32" s="42"/>
      <c r="J32" s="24"/>
      <c r="K32" s="24"/>
      <c r="L32" s="84" t="s">
        <v>281</v>
      </c>
      <c r="M32" s="135">
        <f>SUM(M17:M31)</f>
        <v>2033693.4</v>
      </c>
      <c r="N32" s="43"/>
      <c r="O32" s="41"/>
      <c r="P32" s="138"/>
      <c r="R32" s="42"/>
      <c r="S32" s="24"/>
      <c r="T32" s="24"/>
      <c r="U32" s="84" t="s">
        <v>281</v>
      </c>
      <c r="V32" s="135">
        <f>SUM(V17:V31)</f>
        <v>853840.12699999998</v>
      </c>
      <c r="W32" s="43"/>
      <c r="X32" s="41"/>
      <c r="Y32" s="138"/>
      <c r="AA32" s="42"/>
      <c r="AB32" s="118"/>
      <c r="AC32" s="118"/>
      <c r="AD32" s="124" t="s">
        <v>281</v>
      </c>
      <c r="AE32" s="125">
        <f>SUM(AE17:AE31)</f>
        <v>563446.71799999999</v>
      </c>
      <c r="AF32" s="43"/>
      <c r="AG32" s="41"/>
      <c r="AI32" s="14"/>
      <c r="AJ32" s="42"/>
      <c r="AK32" s="118"/>
      <c r="AL32" s="118"/>
      <c r="AM32" s="373" t="s">
        <v>275</v>
      </c>
      <c r="AN32" s="374">
        <v>0</v>
      </c>
      <c r="AO32" s="43"/>
      <c r="AP32" s="41"/>
      <c r="AS32" s="42"/>
      <c r="AT32" s="118"/>
      <c r="AU32" s="118"/>
      <c r="AV32" s="373" t="s">
        <v>275</v>
      </c>
      <c r="AW32" s="374">
        <v>0</v>
      </c>
      <c r="AX32" s="31"/>
      <c r="AY32" s="41"/>
      <c r="BA32" s="237"/>
    </row>
    <row r="33" spans="1:53" ht="28.5" thickBot="1" x14ac:dyDescent="0.35">
      <c r="A33" s="42"/>
      <c r="B33" s="24"/>
      <c r="C33" s="24"/>
      <c r="D33" s="43"/>
      <c r="E33" s="140">
        <f>+E32-E31</f>
        <v>801688.32</v>
      </c>
      <c r="F33" s="43"/>
      <c r="G33" s="41"/>
      <c r="I33" s="42"/>
      <c r="J33" s="24"/>
      <c r="K33" s="24"/>
      <c r="L33" s="43"/>
      <c r="M33" s="140">
        <f>+M32-M31</f>
        <v>1999703.7</v>
      </c>
      <c r="N33" s="43"/>
      <c r="O33" s="41"/>
      <c r="P33" s="138"/>
      <c r="R33" s="42"/>
      <c r="S33" s="24"/>
      <c r="T33" s="24"/>
      <c r="U33" s="43"/>
      <c r="V33" s="140">
        <f>+V32-V31</f>
        <v>781874.09699999995</v>
      </c>
      <c r="W33" s="43"/>
      <c r="X33" s="41"/>
      <c r="Y33" s="138"/>
      <c r="AA33" s="44"/>
      <c r="AB33" s="25"/>
      <c r="AC33" s="25"/>
      <c r="AD33" s="26"/>
      <c r="AE33" s="26"/>
      <c r="AF33" s="26"/>
      <c r="AG33" s="46"/>
      <c r="AI33" s="14"/>
      <c r="AJ33" s="42"/>
      <c r="AK33" s="118"/>
      <c r="AL33" s="118"/>
      <c r="AM33" s="373" t="s">
        <v>277</v>
      </c>
      <c r="AN33" s="374">
        <v>3352</v>
      </c>
      <c r="AO33" s="43"/>
      <c r="AP33" s="41"/>
      <c r="AS33" s="42"/>
      <c r="AT33" s="118"/>
      <c r="AU33" s="118"/>
      <c r="AV33" s="373" t="s">
        <v>277</v>
      </c>
      <c r="AW33" s="374">
        <v>0</v>
      </c>
      <c r="AX33" s="31"/>
      <c r="AY33" s="41"/>
      <c r="BA33" s="237"/>
    </row>
    <row r="34" spans="1:53" ht="34.5" customHeight="1" thickBot="1" x14ac:dyDescent="0.35">
      <c r="A34" s="42"/>
      <c r="B34" s="987" t="s">
        <v>283</v>
      </c>
      <c r="C34" s="987"/>
      <c r="D34" s="43"/>
      <c r="E34" s="43"/>
      <c r="F34" s="43"/>
      <c r="G34" s="41"/>
      <c r="I34" s="42"/>
      <c r="J34" s="987" t="s">
        <v>283</v>
      </c>
      <c r="K34" s="987"/>
      <c r="L34" s="43"/>
      <c r="M34" s="43"/>
      <c r="N34" s="43"/>
      <c r="O34" s="41"/>
      <c r="P34" s="138"/>
      <c r="R34" s="42"/>
      <c r="S34" s="987" t="s">
        <v>283</v>
      </c>
      <c r="T34" s="987"/>
      <c r="U34" s="43"/>
      <c r="V34" s="43"/>
      <c r="W34" s="43"/>
      <c r="X34" s="41"/>
      <c r="Y34" s="138"/>
      <c r="AA34" s="358"/>
      <c r="AC34" s="126"/>
      <c r="AD34" s="15"/>
      <c r="AE34" s="132">
        <f>+AW35+AN35+AE32</f>
        <v>1417113.048</v>
      </c>
      <c r="AF34" s="7"/>
      <c r="AI34" s="14"/>
      <c r="AJ34" s="42"/>
      <c r="AK34" s="118"/>
      <c r="AL34" s="118"/>
      <c r="AM34" s="375" t="s">
        <v>279</v>
      </c>
      <c r="AN34" s="376">
        <v>98523.590000000011</v>
      </c>
      <c r="AO34" s="43"/>
      <c r="AP34" s="41"/>
      <c r="AS34" s="42"/>
      <c r="AT34" s="118"/>
      <c r="AU34" s="118"/>
      <c r="AV34" s="375" t="s">
        <v>279</v>
      </c>
      <c r="AW34" s="376">
        <v>116588.6</v>
      </c>
      <c r="AX34" s="31"/>
      <c r="AY34" s="41"/>
      <c r="BA34" s="237"/>
    </row>
    <row r="35" spans="1:53" ht="50.15" customHeight="1" thickBot="1" x14ac:dyDescent="0.35">
      <c r="A35" s="42"/>
      <c r="B35" s="987" t="s">
        <v>284</v>
      </c>
      <c r="C35" s="987"/>
      <c r="D35" s="148" t="s">
        <v>255</v>
      </c>
      <c r="E35" s="149" t="s">
        <v>285</v>
      </c>
      <c r="F35" s="85" t="s">
        <v>286</v>
      </c>
      <c r="G35" s="41"/>
      <c r="I35" s="42"/>
      <c r="J35" s="987" t="s">
        <v>284</v>
      </c>
      <c r="K35" s="987"/>
      <c r="L35" s="148" t="s">
        <v>255</v>
      </c>
      <c r="M35" s="149" t="s">
        <v>285</v>
      </c>
      <c r="N35" s="85" t="s">
        <v>286</v>
      </c>
      <c r="O35" s="41"/>
      <c r="P35" s="138"/>
      <c r="R35" s="42"/>
      <c r="S35" s="987" t="s">
        <v>284</v>
      </c>
      <c r="T35" s="987"/>
      <c r="U35" s="148" t="s">
        <v>255</v>
      </c>
      <c r="V35" s="149" t="s">
        <v>285</v>
      </c>
      <c r="W35" s="85" t="s">
        <v>286</v>
      </c>
      <c r="X35" s="41"/>
      <c r="Y35" s="138"/>
      <c r="AA35" s="358"/>
      <c r="AD35" s="1004"/>
      <c r="AE35" s="1004"/>
      <c r="AF35" s="7"/>
      <c r="AJ35" s="42"/>
      <c r="AK35" s="118"/>
      <c r="AL35" s="118"/>
      <c r="AM35" s="124" t="s">
        <v>281</v>
      </c>
      <c r="AN35" s="125">
        <f>SUM(AN17:AN34)</f>
        <v>561018.73</v>
      </c>
      <c r="AO35" s="43"/>
      <c r="AP35" s="41"/>
      <c r="AS35" s="42"/>
      <c r="AT35" s="118"/>
      <c r="AU35" s="118"/>
      <c r="AV35" s="124" t="s">
        <v>281</v>
      </c>
      <c r="AW35" s="125">
        <f>SUM(AW17:AW34)</f>
        <v>292647.59999999998</v>
      </c>
      <c r="AX35" s="31"/>
      <c r="AY35" s="41"/>
      <c r="BA35" s="237"/>
    </row>
    <row r="36" spans="1:53" ht="70.5" thickBot="1" x14ac:dyDescent="0.35">
      <c r="A36" s="42"/>
      <c r="B36" s="24"/>
      <c r="C36" s="24"/>
      <c r="D36" s="931" t="s">
        <v>257</v>
      </c>
      <c r="E36" s="935">
        <v>0</v>
      </c>
      <c r="F36" s="20"/>
      <c r="G36" s="41"/>
      <c r="I36" s="42"/>
      <c r="J36" s="24"/>
      <c r="K36" s="24"/>
      <c r="L36" s="373" t="s">
        <v>257</v>
      </c>
      <c r="M36" s="377">
        <v>2036.04</v>
      </c>
      <c r="N36" s="20" t="s">
        <v>287</v>
      </c>
      <c r="O36" s="41"/>
      <c r="P36" s="138"/>
      <c r="R36" s="42"/>
      <c r="S36" s="24"/>
      <c r="T36" s="24"/>
      <c r="U36" s="373" t="s">
        <v>257</v>
      </c>
      <c r="V36" s="377">
        <v>0</v>
      </c>
      <c r="W36" s="20" t="s">
        <v>288</v>
      </c>
      <c r="X36" s="41"/>
      <c r="Y36" s="138"/>
      <c r="AA36" s="358"/>
      <c r="AD36" s="1005"/>
      <c r="AE36" s="1005"/>
      <c r="AF36" s="7"/>
      <c r="AJ36" s="44"/>
      <c r="AK36" s="25"/>
      <c r="AL36" s="25"/>
      <c r="AM36" s="26"/>
      <c r="AN36" s="26"/>
      <c r="AO36" s="26"/>
      <c r="AP36" s="46"/>
      <c r="AS36" s="44"/>
      <c r="AT36" s="25"/>
      <c r="AU36" s="25"/>
      <c r="AV36" s="26"/>
      <c r="AW36" s="26"/>
      <c r="AX36" s="26"/>
      <c r="AY36" s="46"/>
      <c r="BA36" s="237"/>
    </row>
    <row r="37" spans="1:53" ht="42" x14ac:dyDescent="0.3">
      <c r="A37" s="42"/>
      <c r="B37" s="24"/>
      <c r="C37" s="24"/>
      <c r="D37" s="931" t="s">
        <v>258</v>
      </c>
      <c r="E37" s="935">
        <v>0</v>
      </c>
      <c r="F37" s="936"/>
      <c r="G37" s="41"/>
      <c r="I37" s="42"/>
      <c r="J37" s="24"/>
      <c r="K37" s="24"/>
      <c r="L37" s="373" t="s">
        <v>258</v>
      </c>
      <c r="M37" s="377">
        <v>4076.77</v>
      </c>
      <c r="N37" s="378" t="s">
        <v>287</v>
      </c>
      <c r="O37" s="41"/>
      <c r="P37" s="138"/>
      <c r="R37" s="42"/>
      <c r="S37" s="24"/>
      <c r="T37" s="24"/>
      <c r="U37" s="373" t="s">
        <v>258</v>
      </c>
      <c r="V37" s="377">
        <v>11948.45</v>
      </c>
      <c r="W37" s="378" t="s">
        <v>288</v>
      </c>
      <c r="X37" s="41"/>
      <c r="Y37" s="138"/>
      <c r="AA37" s="358"/>
      <c r="AD37" s="7"/>
      <c r="AE37" s="7"/>
      <c r="AF37" s="7"/>
      <c r="AJ37" s="358"/>
      <c r="AL37" s="126"/>
      <c r="AM37" s="15"/>
      <c r="AN37" s="15"/>
      <c r="AO37" s="7"/>
      <c r="AS37" s="358"/>
      <c r="AV37" s="15"/>
      <c r="AW37" s="15"/>
      <c r="AX37" s="127"/>
      <c r="BA37" s="237"/>
    </row>
    <row r="38" spans="1:53" ht="42" x14ac:dyDescent="0.3">
      <c r="A38" s="42"/>
      <c r="B38" s="24"/>
      <c r="C38" s="24"/>
      <c r="D38" s="931" t="s">
        <v>259</v>
      </c>
      <c r="E38" s="935">
        <v>0</v>
      </c>
      <c r="F38" s="936"/>
      <c r="G38" s="41"/>
      <c r="I38" s="42"/>
      <c r="J38" s="24"/>
      <c r="K38" s="24"/>
      <c r="L38" s="373" t="s">
        <v>259</v>
      </c>
      <c r="M38" s="377">
        <v>1247.6099999999999</v>
      </c>
      <c r="N38" s="378" t="s">
        <v>287</v>
      </c>
      <c r="O38" s="41"/>
      <c r="P38" s="138"/>
      <c r="R38" s="42"/>
      <c r="S38" s="24"/>
      <c r="T38" s="24"/>
      <c r="U38" s="373" t="s">
        <v>259</v>
      </c>
      <c r="V38" s="377">
        <v>6768</v>
      </c>
      <c r="W38" s="378" t="s">
        <v>288</v>
      </c>
      <c r="X38" s="41"/>
      <c r="Y38" s="138"/>
      <c r="AA38" s="358"/>
      <c r="AD38" s="7"/>
      <c r="AE38" s="7"/>
      <c r="AF38" s="7"/>
      <c r="AJ38" s="358"/>
      <c r="AM38" s="1004"/>
      <c r="AN38" s="1004"/>
      <c r="AO38" s="7"/>
      <c r="AS38" s="358"/>
      <c r="AV38" s="1004"/>
      <c r="AW38" s="1004"/>
      <c r="AX38" s="7"/>
      <c r="BA38" s="237"/>
    </row>
    <row r="39" spans="1:53" ht="70" x14ac:dyDescent="0.3">
      <c r="A39" s="42"/>
      <c r="B39" s="24"/>
      <c r="C39" s="24"/>
      <c r="D39" s="931" t="s">
        <v>260</v>
      </c>
      <c r="E39" s="935">
        <v>0</v>
      </c>
      <c r="F39" s="936"/>
      <c r="G39" s="41"/>
      <c r="I39" s="42"/>
      <c r="J39" s="24"/>
      <c r="K39" s="24"/>
      <c r="L39" s="373" t="s">
        <v>260</v>
      </c>
      <c r="M39" s="377">
        <v>15571.06</v>
      </c>
      <c r="N39" s="378" t="s">
        <v>289</v>
      </c>
      <c r="O39" s="41"/>
      <c r="P39" s="138"/>
      <c r="R39" s="42"/>
      <c r="S39" s="24"/>
      <c r="T39" s="24"/>
      <c r="U39" s="373" t="s">
        <v>260</v>
      </c>
      <c r="V39" s="377">
        <v>5400</v>
      </c>
      <c r="W39" s="378" t="s">
        <v>288</v>
      </c>
      <c r="X39" s="41"/>
      <c r="Y39" s="138"/>
      <c r="AA39" s="358"/>
      <c r="AD39" s="1005"/>
      <c r="AE39" s="1005"/>
      <c r="AF39" s="7"/>
      <c r="AJ39" s="358"/>
      <c r="AM39" s="1005"/>
      <c r="AN39" s="1005"/>
      <c r="AO39" s="7"/>
      <c r="AS39" s="358"/>
      <c r="AV39" s="1005"/>
      <c r="AW39" s="1005"/>
      <c r="AX39" s="7"/>
      <c r="BA39" s="237"/>
    </row>
    <row r="40" spans="1:53" ht="42" x14ac:dyDescent="0.3">
      <c r="A40" s="42"/>
      <c r="B40" s="24"/>
      <c r="C40" s="24"/>
      <c r="D40" s="931" t="s">
        <v>262</v>
      </c>
      <c r="E40" s="935">
        <v>0</v>
      </c>
      <c r="F40" s="936"/>
      <c r="G40" s="41"/>
      <c r="I40" s="42"/>
      <c r="J40" s="24"/>
      <c r="K40" s="24"/>
      <c r="L40" s="373" t="s">
        <v>262</v>
      </c>
      <c r="M40" s="377">
        <v>5380.1</v>
      </c>
      <c r="N40" s="378" t="s">
        <v>290</v>
      </c>
      <c r="O40" s="41"/>
      <c r="P40" s="138"/>
      <c r="R40" s="42"/>
      <c r="S40" s="24"/>
      <c r="T40" s="24"/>
      <c r="U40" s="373" t="s">
        <v>262</v>
      </c>
      <c r="V40" s="377">
        <v>5358</v>
      </c>
      <c r="W40" s="378" t="s">
        <v>288</v>
      </c>
      <c r="X40" s="41"/>
      <c r="Y40" s="138"/>
      <c r="AD40" s="1005"/>
      <c r="AE40" s="1005"/>
      <c r="AF40" s="7"/>
      <c r="AJ40" s="358"/>
      <c r="AM40" s="7"/>
      <c r="AN40" s="7"/>
      <c r="AO40" s="7"/>
      <c r="AS40" s="358"/>
      <c r="AV40" s="7"/>
      <c r="AW40" s="7"/>
      <c r="AX40" s="7"/>
      <c r="BA40" s="237"/>
    </row>
    <row r="41" spans="1:53" ht="56" x14ac:dyDescent="0.3">
      <c r="A41" s="42"/>
      <c r="B41" s="24"/>
      <c r="C41" s="24"/>
      <c r="D41" s="931" t="s">
        <v>263</v>
      </c>
      <c r="E41" s="935">
        <v>0</v>
      </c>
      <c r="F41" s="936"/>
      <c r="G41" s="41"/>
      <c r="I41" s="42"/>
      <c r="J41" s="24"/>
      <c r="K41" s="24"/>
      <c r="L41" s="373" t="s">
        <v>263</v>
      </c>
      <c r="M41" s="963">
        <v>0</v>
      </c>
      <c r="N41" s="378"/>
      <c r="O41" s="41"/>
      <c r="P41" s="138"/>
      <c r="R41" s="42"/>
      <c r="S41" s="24"/>
      <c r="T41" s="24"/>
      <c r="U41" s="373" t="s">
        <v>263</v>
      </c>
      <c r="V41" s="377">
        <v>14100</v>
      </c>
      <c r="W41" s="378" t="s">
        <v>288</v>
      </c>
      <c r="X41" s="41"/>
      <c r="Y41" s="138"/>
      <c r="AD41" s="18"/>
      <c r="AE41" s="7"/>
      <c r="AF41" s="7"/>
      <c r="AJ41" s="358"/>
      <c r="AM41" s="7"/>
      <c r="AN41" s="7"/>
      <c r="AO41" s="7"/>
      <c r="AS41" s="358"/>
      <c r="AV41" s="7"/>
      <c r="AW41" s="7"/>
      <c r="AX41" s="7"/>
      <c r="BA41" s="237"/>
    </row>
    <row r="42" spans="1:53" ht="42" x14ac:dyDescent="0.3">
      <c r="A42" s="42"/>
      <c r="B42" s="24"/>
      <c r="C42" s="24"/>
      <c r="D42" s="931" t="s">
        <v>265</v>
      </c>
      <c r="E42" s="935">
        <v>0</v>
      </c>
      <c r="F42" s="936"/>
      <c r="G42" s="41"/>
      <c r="I42" s="42"/>
      <c r="J42" s="24"/>
      <c r="K42" s="24"/>
      <c r="L42" s="373" t="s">
        <v>265</v>
      </c>
      <c r="M42" s="377">
        <v>6736.79</v>
      </c>
      <c r="N42" s="378" t="s">
        <v>290</v>
      </c>
      <c r="O42" s="41"/>
      <c r="P42" s="138"/>
      <c r="R42" s="42"/>
      <c r="S42" s="24"/>
      <c r="T42" s="24"/>
      <c r="U42" s="373" t="s">
        <v>265</v>
      </c>
      <c r="V42" s="377">
        <v>4521.6499999999996</v>
      </c>
      <c r="W42" s="378" t="s">
        <v>288</v>
      </c>
      <c r="X42" s="41"/>
      <c r="Y42" s="138"/>
      <c r="AD42" s="18"/>
      <c r="AE42" s="18"/>
      <c r="AF42" s="6"/>
      <c r="AJ42" s="358"/>
      <c r="AM42" s="1005"/>
      <c r="AN42" s="1005"/>
      <c r="AO42" s="7"/>
      <c r="AS42" s="358"/>
      <c r="AV42" s="1005"/>
      <c r="AW42" s="1005"/>
      <c r="AX42" s="7"/>
      <c r="BA42" s="237"/>
    </row>
    <row r="43" spans="1:53" ht="84" x14ac:dyDescent="0.3">
      <c r="A43" s="42"/>
      <c r="B43" s="24"/>
      <c r="C43" s="24"/>
      <c r="D43" s="931" t="s">
        <v>266</v>
      </c>
      <c r="E43" s="935">
        <v>103450.03</v>
      </c>
      <c r="F43" s="938">
        <v>43252</v>
      </c>
      <c r="G43" s="41"/>
      <c r="I43" s="42"/>
      <c r="J43" s="24"/>
      <c r="K43" s="24"/>
      <c r="L43" s="373" t="s">
        <v>266</v>
      </c>
      <c r="M43" s="377">
        <v>63624.76</v>
      </c>
      <c r="N43" s="378" t="s">
        <v>289</v>
      </c>
      <c r="O43" s="41"/>
      <c r="P43" s="138"/>
      <c r="R43" s="42"/>
      <c r="S43" s="24"/>
      <c r="T43" s="24"/>
      <c r="U43" s="373" t="s">
        <v>266</v>
      </c>
      <c r="V43" s="377">
        <v>427321.48</v>
      </c>
      <c r="W43" s="378" t="s">
        <v>288</v>
      </c>
      <c r="X43" s="41"/>
      <c r="Y43" s="138"/>
      <c r="AD43" s="19"/>
      <c r="AE43" s="19"/>
      <c r="AM43" s="1005"/>
      <c r="AN43" s="1005"/>
      <c r="AO43" s="7"/>
      <c r="AV43" s="1005"/>
      <c r="AW43" s="1005"/>
      <c r="AX43" s="7"/>
      <c r="BA43" s="237"/>
    </row>
    <row r="44" spans="1:53" ht="28" x14ac:dyDescent="0.3">
      <c r="A44" s="42"/>
      <c r="B44" s="24"/>
      <c r="C44" s="24"/>
      <c r="D44" s="931" t="s">
        <v>268</v>
      </c>
      <c r="E44" s="935">
        <v>62586.400000000001</v>
      </c>
      <c r="F44" s="938">
        <v>43252</v>
      </c>
      <c r="G44" s="41"/>
      <c r="I44" s="42"/>
      <c r="J44" s="24"/>
      <c r="K44" s="24"/>
      <c r="L44" s="373" t="s">
        <v>268</v>
      </c>
      <c r="M44" s="377">
        <v>15000</v>
      </c>
      <c r="N44" s="378" t="s">
        <v>289</v>
      </c>
      <c r="O44" s="41"/>
      <c r="P44" s="138"/>
      <c r="R44" s="42"/>
      <c r="S44" s="24"/>
      <c r="T44" s="24"/>
      <c r="U44" s="373" t="s">
        <v>268</v>
      </c>
      <c r="V44" s="377">
        <v>10000</v>
      </c>
      <c r="W44" s="378" t="s">
        <v>288</v>
      </c>
      <c r="X44" s="41"/>
      <c r="Y44" s="138"/>
      <c r="AD44" s="19"/>
      <c r="AE44" s="19"/>
      <c r="AM44" s="18"/>
      <c r="AN44" s="7"/>
      <c r="AO44" s="7"/>
      <c r="AV44" s="18"/>
      <c r="AW44" s="7"/>
      <c r="AX44" s="7"/>
      <c r="BA44" s="237"/>
    </row>
    <row r="45" spans="1:53" ht="42" x14ac:dyDescent="0.3">
      <c r="A45" s="42"/>
      <c r="B45" s="24"/>
      <c r="C45" s="24"/>
      <c r="D45" s="931" t="s">
        <v>270</v>
      </c>
      <c r="E45" s="935">
        <v>0</v>
      </c>
      <c r="F45" s="936"/>
      <c r="G45" s="41"/>
      <c r="I45" s="42"/>
      <c r="J45" s="24"/>
      <c r="K45" s="24"/>
      <c r="L45" s="373" t="s">
        <v>270</v>
      </c>
      <c r="M45" s="963">
        <v>52657.55</v>
      </c>
      <c r="N45" s="378" t="s">
        <v>289</v>
      </c>
      <c r="O45" s="41"/>
      <c r="P45" s="138"/>
      <c r="R45" s="42"/>
      <c r="S45" s="24"/>
      <c r="T45" s="24"/>
      <c r="U45" s="373" t="s">
        <v>270</v>
      </c>
      <c r="V45" s="377">
        <v>52845.919999999998</v>
      </c>
      <c r="W45" s="378" t="s">
        <v>288</v>
      </c>
      <c r="X45" s="41"/>
      <c r="Y45" s="138"/>
      <c r="AM45" s="18"/>
      <c r="AN45" s="18"/>
      <c r="AO45" s="6"/>
      <c r="AV45" s="18"/>
      <c r="AW45" s="18"/>
      <c r="AX45" s="6"/>
      <c r="BA45" s="237"/>
    </row>
    <row r="46" spans="1:53" ht="70" x14ac:dyDescent="0.3">
      <c r="A46" s="42"/>
      <c r="B46" s="24"/>
      <c r="C46" s="24"/>
      <c r="D46" s="933" t="s">
        <v>272</v>
      </c>
      <c r="E46" s="935">
        <v>863544.92</v>
      </c>
      <c r="F46" s="938">
        <v>43252</v>
      </c>
      <c r="G46" s="41"/>
      <c r="I46" s="42"/>
      <c r="J46" s="24"/>
      <c r="K46" s="24"/>
      <c r="L46" s="379" t="s">
        <v>272</v>
      </c>
      <c r="M46" s="377">
        <v>1353570.43</v>
      </c>
      <c r="N46" s="378" t="s">
        <v>289</v>
      </c>
      <c r="O46" s="41"/>
      <c r="P46" s="138"/>
      <c r="R46" s="42"/>
      <c r="S46" s="24"/>
      <c r="T46" s="24"/>
      <c r="U46" s="379" t="s">
        <v>272</v>
      </c>
      <c r="V46" s="377">
        <v>2418541.67</v>
      </c>
      <c r="W46" s="378" t="s">
        <v>288</v>
      </c>
      <c r="X46" s="41"/>
      <c r="Y46" s="138"/>
      <c r="AM46" s="19"/>
      <c r="AN46" s="19"/>
      <c r="AV46" s="19"/>
      <c r="AW46" s="19"/>
      <c r="BA46" s="237"/>
    </row>
    <row r="47" spans="1:53" ht="42" x14ac:dyDescent="0.3">
      <c r="A47" s="42"/>
      <c r="B47" s="24"/>
      <c r="C47" s="24"/>
      <c r="D47" s="931" t="s">
        <v>273</v>
      </c>
      <c r="E47" s="935">
        <v>459958.75</v>
      </c>
      <c r="F47" s="938">
        <v>43252</v>
      </c>
      <c r="G47" s="41"/>
      <c r="I47" s="42"/>
      <c r="J47" s="24"/>
      <c r="K47" s="24"/>
      <c r="L47" s="373" t="s">
        <v>273</v>
      </c>
      <c r="M47" s="377">
        <v>557145.14</v>
      </c>
      <c r="N47" s="378" t="s">
        <v>289</v>
      </c>
      <c r="O47" s="41"/>
      <c r="P47" s="138"/>
      <c r="R47" s="42"/>
      <c r="S47" s="24"/>
      <c r="T47" s="24"/>
      <c r="U47" s="373" t="s">
        <v>273</v>
      </c>
      <c r="V47" s="377">
        <v>447000</v>
      </c>
      <c r="W47" s="378" t="s">
        <v>288</v>
      </c>
      <c r="X47" s="41"/>
      <c r="Y47" s="138"/>
      <c r="AB47" s="152"/>
      <c r="AC47" s="152"/>
      <c r="AD47" s="153"/>
      <c r="AE47" s="153"/>
      <c r="AM47" s="19"/>
      <c r="AN47" s="19"/>
      <c r="AV47" s="19"/>
      <c r="AW47" s="19"/>
      <c r="BA47" s="237"/>
    </row>
    <row r="48" spans="1:53" ht="56" x14ac:dyDescent="0.35">
      <c r="A48" s="42"/>
      <c r="B48" s="24"/>
      <c r="C48" s="24"/>
      <c r="D48" s="931" t="s">
        <v>275</v>
      </c>
      <c r="E48" s="935">
        <v>96553.95</v>
      </c>
      <c r="F48" s="938">
        <v>43252</v>
      </c>
      <c r="G48" s="41"/>
      <c r="I48" s="42"/>
      <c r="J48" s="24"/>
      <c r="K48" s="24"/>
      <c r="L48" s="373" t="s">
        <v>275</v>
      </c>
      <c r="M48" s="377">
        <v>84408.81</v>
      </c>
      <c r="N48" s="378" t="s">
        <v>289</v>
      </c>
      <c r="O48" s="41"/>
      <c r="P48" s="138"/>
      <c r="R48" s="42"/>
      <c r="S48" s="24"/>
      <c r="T48" s="24"/>
      <c r="U48" s="373" t="s">
        <v>275</v>
      </c>
      <c r="V48" s="377">
        <v>33511.85</v>
      </c>
      <c r="W48" s="378" t="s">
        <v>288</v>
      </c>
      <c r="X48" s="41"/>
      <c r="Y48" s="138"/>
      <c r="AB48" s="154"/>
      <c r="AC48" s="154"/>
      <c r="AD48" s="154"/>
      <c r="AE48" s="154"/>
      <c r="AF48" s="128"/>
      <c r="BA48" s="237"/>
    </row>
    <row r="49" spans="1:53" ht="28.5" thickBot="1" x14ac:dyDescent="0.35">
      <c r="A49" s="42"/>
      <c r="B49" s="24"/>
      <c r="C49" s="24"/>
      <c r="D49" s="931" t="s">
        <v>277</v>
      </c>
      <c r="E49" s="935">
        <v>93640</v>
      </c>
      <c r="F49" s="938">
        <v>43252</v>
      </c>
      <c r="G49" s="41"/>
      <c r="I49" s="42"/>
      <c r="J49" s="24"/>
      <c r="K49" s="24"/>
      <c r="L49" s="373" t="s">
        <v>277</v>
      </c>
      <c r="M49" s="377">
        <v>97343.1</v>
      </c>
      <c r="N49" s="380" t="s">
        <v>289</v>
      </c>
      <c r="O49" s="41"/>
      <c r="P49" s="138"/>
      <c r="R49" s="42"/>
      <c r="S49" s="24"/>
      <c r="T49" s="24"/>
      <c r="U49" s="373" t="s">
        <v>277</v>
      </c>
      <c r="V49" s="377">
        <v>61924</v>
      </c>
      <c r="W49" s="380" t="s">
        <v>288</v>
      </c>
      <c r="X49" s="41"/>
      <c r="Y49" s="138"/>
      <c r="BA49" s="237"/>
    </row>
    <row r="50" spans="1:53" ht="28.5" thickBot="1" x14ac:dyDescent="0.4">
      <c r="A50" s="42"/>
      <c r="B50" s="24"/>
      <c r="C50" s="24"/>
      <c r="D50" s="934" t="s">
        <v>279</v>
      </c>
      <c r="E50" s="935">
        <v>181745.45</v>
      </c>
      <c r="F50" s="938">
        <v>43252</v>
      </c>
      <c r="G50" s="41"/>
      <c r="I50" s="42"/>
      <c r="J50" s="24"/>
      <c r="K50" s="24"/>
      <c r="L50" s="375" t="s">
        <v>279</v>
      </c>
      <c r="M50" s="377">
        <v>143015.56</v>
      </c>
      <c r="N50" s="20" t="s">
        <v>289</v>
      </c>
      <c r="O50" s="41"/>
      <c r="P50" s="138"/>
      <c r="R50" s="42"/>
      <c r="S50" s="24"/>
      <c r="T50" s="24"/>
      <c r="U50" s="375" t="s">
        <v>279</v>
      </c>
      <c r="V50" s="377">
        <v>90000</v>
      </c>
      <c r="W50" s="20" t="s">
        <v>288</v>
      </c>
      <c r="X50" s="41"/>
      <c r="Y50" s="138"/>
      <c r="AC50" s="129"/>
      <c r="AD50" s="129"/>
      <c r="AE50" s="130"/>
      <c r="AK50" s="152"/>
      <c r="AL50" s="152"/>
      <c r="AM50" s="153"/>
      <c r="AN50" s="153"/>
      <c r="BA50" s="237"/>
    </row>
    <row r="51" spans="1:53" ht="15" thickBot="1" x14ac:dyDescent="0.4">
      <c r="A51" s="42"/>
      <c r="B51" s="24"/>
      <c r="C51" s="24"/>
      <c r="D51" s="84" t="s">
        <v>281</v>
      </c>
      <c r="E51" s="141">
        <f>SUM(E36:E50)</f>
        <v>1861479.5</v>
      </c>
      <c r="F51" s="83"/>
      <c r="G51" s="41"/>
      <c r="I51" s="42"/>
      <c r="J51" s="24"/>
      <c r="K51" s="24"/>
      <c r="L51" s="84" t="s">
        <v>281</v>
      </c>
      <c r="M51" s="141">
        <f>SUM(M36:M50)</f>
        <v>2401813.7200000002</v>
      </c>
      <c r="N51" s="83"/>
      <c r="O51" s="41"/>
      <c r="P51" s="138"/>
      <c r="R51" s="42"/>
      <c r="S51" s="24"/>
      <c r="T51" s="24"/>
      <c r="U51" s="84" t="s">
        <v>281</v>
      </c>
      <c r="V51" s="141">
        <f>SUM(V36:V50)</f>
        <v>3589241.02</v>
      </c>
      <c r="W51" s="83"/>
      <c r="X51" s="41"/>
      <c r="Y51" s="138"/>
      <c r="AK51" s="154"/>
      <c r="AL51" s="154"/>
      <c r="AM51" s="154"/>
      <c r="AN51" s="154"/>
      <c r="AO51" s="128"/>
      <c r="BA51" s="237"/>
    </row>
    <row r="52" spans="1:53" x14ac:dyDescent="0.3">
      <c r="A52" s="42"/>
      <c r="B52" s="24"/>
      <c r="C52" s="24"/>
      <c r="D52" s="43"/>
      <c r="E52" s="43"/>
      <c r="F52" s="43"/>
      <c r="G52" s="41"/>
      <c r="I52" s="42"/>
      <c r="J52" s="24"/>
      <c r="K52" s="24"/>
      <c r="L52" s="43"/>
      <c r="M52" s="43"/>
      <c r="N52" s="43"/>
      <c r="O52" s="41"/>
      <c r="P52" s="138"/>
      <c r="R52" s="42"/>
      <c r="S52" s="24"/>
      <c r="T52" s="24"/>
      <c r="U52" s="43"/>
      <c r="V52" s="43"/>
      <c r="W52" s="43"/>
      <c r="X52" s="41"/>
      <c r="Y52" s="138"/>
      <c r="BA52" s="237"/>
    </row>
    <row r="53" spans="1:53" ht="34.5" customHeight="1" thickBot="1" x14ac:dyDescent="0.4">
      <c r="A53" s="42"/>
      <c r="B53" s="987" t="s">
        <v>291</v>
      </c>
      <c r="C53" s="987"/>
      <c r="D53" s="987"/>
      <c r="E53" s="987"/>
      <c r="F53" s="86"/>
      <c r="G53" s="41"/>
      <c r="I53" s="42"/>
      <c r="J53" s="987" t="s">
        <v>291</v>
      </c>
      <c r="K53" s="987"/>
      <c r="L53" s="987"/>
      <c r="M53" s="987"/>
      <c r="N53" s="86"/>
      <c r="O53" s="41"/>
      <c r="P53" s="138"/>
      <c r="R53" s="42"/>
      <c r="S53" s="987" t="s">
        <v>291</v>
      </c>
      <c r="T53" s="987"/>
      <c r="U53" s="987"/>
      <c r="V53" s="987"/>
      <c r="W53" s="86"/>
      <c r="X53" s="41"/>
      <c r="Y53" s="138"/>
      <c r="AL53" s="129"/>
      <c r="AM53" s="129"/>
      <c r="AN53" s="130"/>
      <c r="BA53" s="237"/>
    </row>
    <row r="54" spans="1:53" ht="63.75" customHeight="1" thickBot="1" x14ac:dyDescent="0.35">
      <c r="A54" s="42"/>
      <c r="B54" s="987" t="s">
        <v>292</v>
      </c>
      <c r="C54" s="987"/>
      <c r="D54" s="1006" t="s">
        <v>74</v>
      </c>
      <c r="E54" s="1007"/>
      <c r="F54" s="43"/>
      <c r="G54" s="41"/>
      <c r="I54" s="42"/>
      <c r="J54" s="987" t="s">
        <v>292</v>
      </c>
      <c r="K54" s="987"/>
      <c r="L54" s="1006" t="s">
        <v>74</v>
      </c>
      <c r="M54" s="1007"/>
      <c r="N54" s="43"/>
      <c r="O54" s="41"/>
      <c r="P54" s="138"/>
      <c r="R54" s="42"/>
      <c r="S54" s="987" t="s">
        <v>292</v>
      </c>
      <c r="T54" s="987"/>
      <c r="U54" s="1006" t="s">
        <v>74</v>
      </c>
      <c r="V54" s="1007"/>
      <c r="W54" s="43"/>
      <c r="X54" s="41"/>
      <c r="Y54" s="138"/>
      <c r="AH54" s="131"/>
      <c r="AQ54" s="131"/>
      <c r="AR54" s="131"/>
      <c r="BA54" s="237"/>
    </row>
    <row r="55" spans="1:53" ht="14.5" thickBot="1" x14ac:dyDescent="0.35">
      <c r="A55" s="42"/>
      <c r="B55" s="1010"/>
      <c r="C55" s="1010"/>
      <c r="D55" s="1010"/>
      <c r="E55" s="1010"/>
      <c r="F55" s="43"/>
      <c r="G55" s="41"/>
      <c r="I55" s="42"/>
      <c r="J55" s="1010"/>
      <c r="K55" s="1010"/>
      <c r="L55" s="1010"/>
      <c r="M55" s="1010"/>
      <c r="N55" s="43"/>
      <c r="O55" s="41"/>
      <c r="P55" s="138"/>
      <c r="R55" s="42"/>
      <c r="S55" s="1010"/>
      <c r="T55" s="1010"/>
      <c r="U55" s="1010"/>
      <c r="V55" s="1010"/>
      <c r="W55" s="43"/>
      <c r="X55" s="41"/>
      <c r="Y55" s="138"/>
      <c r="BA55" s="237"/>
    </row>
    <row r="56" spans="1:53" ht="59.25" customHeight="1" thickBot="1" x14ac:dyDescent="0.35">
      <c r="A56" s="42"/>
      <c r="B56" s="987" t="s">
        <v>293</v>
      </c>
      <c r="C56" s="987"/>
      <c r="D56" s="1011"/>
      <c r="E56" s="1012"/>
      <c r="F56" s="43"/>
      <c r="G56" s="41"/>
      <c r="I56" s="42"/>
      <c r="J56" s="987" t="s">
        <v>293</v>
      </c>
      <c r="K56" s="987"/>
      <c r="L56" s="1011"/>
      <c r="M56" s="1012"/>
      <c r="N56" s="43"/>
      <c r="O56" s="41"/>
      <c r="P56" s="138"/>
      <c r="R56" s="42"/>
      <c r="S56" s="987" t="s">
        <v>293</v>
      </c>
      <c r="T56" s="987"/>
      <c r="U56" s="1011">
        <v>590196</v>
      </c>
      <c r="V56" s="1012"/>
      <c r="W56" s="43"/>
      <c r="X56" s="41"/>
      <c r="Y56" s="138"/>
      <c r="BA56" s="237"/>
    </row>
    <row r="57" spans="1:53" ht="347.25" customHeight="1" thickBot="1" x14ac:dyDescent="0.35">
      <c r="A57" s="42"/>
      <c r="B57" s="987" t="s">
        <v>294</v>
      </c>
      <c r="C57" s="987"/>
      <c r="D57" s="1008" t="s">
        <v>1540</v>
      </c>
      <c r="E57" s="1009"/>
      <c r="F57" s="43"/>
      <c r="G57" s="41"/>
      <c r="I57" s="42"/>
      <c r="J57" s="987" t="s">
        <v>294</v>
      </c>
      <c r="K57" s="987"/>
      <c r="L57" s="1008" t="s">
        <v>955</v>
      </c>
      <c r="M57" s="1009"/>
      <c r="N57" s="43"/>
      <c r="O57" s="41"/>
      <c r="P57" s="138"/>
      <c r="R57" s="42"/>
      <c r="S57" s="987" t="s">
        <v>294</v>
      </c>
      <c r="T57" s="987"/>
      <c r="U57" s="1008" t="s">
        <v>295</v>
      </c>
      <c r="V57" s="1009"/>
      <c r="W57" s="43"/>
      <c r="X57" s="41"/>
      <c r="Y57" s="138"/>
      <c r="BA57" s="237"/>
    </row>
    <row r="58" spans="1:53" x14ac:dyDescent="0.3">
      <c r="A58" s="42"/>
      <c r="B58" s="24"/>
      <c r="C58" s="24"/>
      <c r="D58" s="43"/>
      <c r="E58" s="43"/>
      <c r="F58" s="43"/>
      <c r="G58" s="41"/>
      <c r="I58" s="42"/>
      <c r="J58" s="24"/>
      <c r="K58" s="24"/>
      <c r="L58" s="43"/>
      <c r="M58" s="43"/>
      <c r="N58" s="43"/>
      <c r="O58" s="41"/>
      <c r="P58" s="138"/>
      <c r="R58" s="42"/>
      <c r="S58" s="24"/>
      <c r="T58" s="24"/>
      <c r="U58" s="43"/>
      <c r="V58" s="43"/>
      <c r="W58" s="43"/>
      <c r="X58" s="41"/>
      <c r="Y58" s="138"/>
      <c r="AB58" s="151"/>
      <c r="AC58" s="151"/>
      <c r="BA58" s="237"/>
    </row>
    <row r="59" spans="1:53" ht="15" thickBot="1" x14ac:dyDescent="0.4">
      <c r="A59" s="44"/>
      <c r="B59" s="1013"/>
      <c r="C59" s="1013"/>
      <c r="D59" s="45"/>
      <c r="E59" s="26"/>
      <c r="F59" s="26"/>
      <c r="G59" s="46"/>
      <c r="I59" s="44"/>
      <c r="J59" s="1013"/>
      <c r="K59" s="1013"/>
      <c r="L59" s="45"/>
      <c r="M59" s="26"/>
      <c r="N59" s="26"/>
      <c r="O59" s="46"/>
      <c r="P59" s="138"/>
      <c r="R59" s="44"/>
      <c r="S59" s="1013"/>
      <c r="T59" s="1013"/>
      <c r="U59" s="45"/>
      <c r="V59" s="26"/>
      <c r="W59" s="26"/>
      <c r="X59" s="46"/>
      <c r="Y59" s="138"/>
      <c r="AB59" s="155"/>
      <c r="AC59" s="155"/>
      <c r="BA59" s="237"/>
    </row>
    <row r="60" spans="1:53" s="16" customFormat="1" ht="65.150000000000006" customHeight="1" x14ac:dyDescent="0.3">
      <c r="A60" s="929"/>
      <c r="B60" s="1014"/>
      <c r="C60" s="1014"/>
      <c r="D60" s="1015"/>
      <c r="E60" s="1015"/>
      <c r="F60" s="7"/>
      <c r="I60" s="358"/>
      <c r="J60" s="1014"/>
      <c r="K60" s="1014"/>
      <c r="L60" s="1015"/>
      <c r="M60" s="1015"/>
      <c r="N60" s="7"/>
      <c r="P60" s="139"/>
      <c r="R60" s="358"/>
      <c r="S60" s="1014"/>
      <c r="T60" s="1014"/>
      <c r="U60" s="1015"/>
      <c r="V60" s="1015"/>
      <c r="W60" s="7"/>
      <c r="Y60" s="139"/>
      <c r="AA60" s="12"/>
      <c r="AB60" s="12"/>
      <c r="AC60" s="12"/>
      <c r="AD60" s="13"/>
      <c r="AE60" s="13"/>
      <c r="AF60" s="13"/>
      <c r="AG60" s="13"/>
      <c r="AH60" s="13"/>
      <c r="AJ60" s="12"/>
      <c r="AK60" s="12"/>
      <c r="AL60" s="12"/>
      <c r="AM60" s="13"/>
      <c r="AN60" s="13"/>
      <c r="AO60" s="13"/>
      <c r="AP60" s="13"/>
      <c r="AQ60" s="13"/>
      <c r="AR60" s="13"/>
      <c r="AS60" s="12"/>
      <c r="AT60" s="12"/>
      <c r="AU60" s="12"/>
      <c r="AV60" s="13"/>
      <c r="AW60" s="13"/>
      <c r="AX60" s="13"/>
      <c r="AY60" s="13"/>
      <c r="AZ60" s="13"/>
      <c r="BA60" s="237"/>
    </row>
    <row r="61" spans="1:53" ht="59.25" customHeight="1" x14ac:dyDescent="0.3">
      <c r="A61" s="929"/>
      <c r="B61" s="930"/>
      <c r="C61" s="930"/>
      <c r="D61" s="15"/>
      <c r="E61" s="15"/>
      <c r="F61" s="7"/>
      <c r="I61" s="358"/>
      <c r="J61" s="360"/>
      <c r="K61" s="360"/>
      <c r="L61" s="15"/>
      <c r="M61" s="15"/>
      <c r="N61" s="7"/>
      <c r="R61" s="358"/>
      <c r="S61" s="360"/>
      <c r="T61" s="360"/>
      <c r="U61" s="15"/>
      <c r="V61" s="15"/>
      <c r="W61" s="7"/>
      <c r="BA61" s="237"/>
    </row>
    <row r="62" spans="1:53" ht="50.15" customHeight="1" x14ac:dyDescent="0.35">
      <c r="A62" s="929"/>
      <c r="B62" s="1016"/>
      <c r="C62" s="1016"/>
      <c r="D62" s="1004"/>
      <c r="E62" s="1004"/>
      <c r="F62" s="7"/>
      <c r="I62" s="358"/>
      <c r="J62" s="1016"/>
      <c r="K62" s="1016"/>
      <c r="L62" s="1004"/>
      <c r="M62" s="1004"/>
      <c r="N62" s="7"/>
      <c r="R62" s="358"/>
      <c r="S62" s="1016"/>
      <c r="T62" s="1016"/>
      <c r="U62" s="1004"/>
      <c r="V62" s="1004"/>
      <c r="W62" s="7"/>
      <c r="AH62" s="16"/>
      <c r="AK62" s="155">
        <f>35720+77265</f>
        <v>112985</v>
      </c>
      <c r="AL62" s="155">
        <f>242222.42+107070+114509.33</f>
        <v>463801.75000000006</v>
      </c>
      <c r="AQ62" s="16"/>
      <c r="AR62" s="16"/>
      <c r="BA62" s="237"/>
    </row>
    <row r="63" spans="1:53" ht="99.9" customHeight="1" x14ac:dyDescent="0.3">
      <c r="A63" s="929"/>
      <c r="B63" s="1016"/>
      <c r="C63" s="1016"/>
      <c r="D63" s="1005"/>
      <c r="E63" s="1005"/>
      <c r="F63" s="7"/>
      <c r="I63" s="358"/>
      <c r="J63" s="1016"/>
      <c r="K63" s="1016"/>
      <c r="L63" s="1005"/>
      <c r="M63" s="1005"/>
      <c r="N63" s="7"/>
      <c r="R63" s="358"/>
      <c r="S63" s="1016"/>
      <c r="T63" s="1016"/>
      <c r="U63" s="1005"/>
      <c r="V63" s="1005"/>
      <c r="W63" s="7"/>
      <c r="BA63" s="237"/>
    </row>
    <row r="64" spans="1:53" x14ac:dyDescent="0.3">
      <c r="A64" s="929"/>
      <c r="B64" s="929"/>
      <c r="C64" s="929"/>
      <c r="D64" s="7"/>
      <c r="E64" s="7"/>
      <c r="F64" s="7"/>
      <c r="I64" s="358"/>
      <c r="J64" s="358"/>
      <c r="K64" s="358"/>
      <c r="L64" s="7"/>
      <c r="M64" s="7"/>
      <c r="N64" s="7"/>
      <c r="R64" s="358"/>
      <c r="S64" s="358"/>
      <c r="T64" s="358"/>
      <c r="U64" s="7"/>
      <c r="V64" s="7"/>
      <c r="W64" s="7"/>
    </row>
    <row r="65" spans="1:23" x14ac:dyDescent="0.3">
      <c r="A65" s="929"/>
      <c r="B65" s="1014"/>
      <c r="C65" s="1014"/>
      <c r="D65" s="7"/>
      <c r="E65" s="7"/>
      <c r="F65" s="7"/>
      <c r="I65" s="358"/>
      <c r="J65" s="1014"/>
      <c r="K65" s="1014"/>
      <c r="L65" s="7"/>
      <c r="M65" s="7"/>
      <c r="N65" s="7"/>
      <c r="R65" s="358"/>
      <c r="S65" s="1014"/>
      <c r="T65" s="1014"/>
      <c r="U65" s="7"/>
      <c r="V65" s="7"/>
      <c r="W65" s="7"/>
    </row>
    <row r="66" spans="1:23" x14ac:dyDescent="0.3">
      <c r="A66" s="929"/>
      <c r="B66" s="1014"/>
      <c r="C66" s="1014"/>
      <c r="D66" s="1005"/>
      <c r="E66" s="1005"/>
      <c r="F66" s="7"/>
      <c r="I66" s="358"/>
      <c r="J66" s="1014"/>
      <c r="K66" s="1014"/>
      <c r="L66" s="1005"/>
      <c r="M66" s="1005"/>
      <c r="N66" s="7"/>
      <c r="R66" s="358"/>
      <c r="S66" s="1014"/>
      <c r="T66" s="1014"/>
      <c r="U66" s="1005"/>
      <c r="V66" s="1005"/>
      <c r="W66" s="7"/>
    </row>
    <row r="67" spans="1:23" x14ac:dyDescent="0.3">
      <c r="A67" s="929"/>
      <c r="B67" s="1016"/>
      <c r="C67" s="1016"/>
      <c r="D67" s="1005"/>
      <c r="E67" s="1005"/>
      <c r="F67" s="7"/>
      <c r="I67" s="358"/>
      <c r="J67" s="1016"/>
      <c r="K67" s="1016"/>
      <c r="L67" s="1005"/>
      <c r="M67" s="1005"/>
      <c r="N67" s="7"/>
      <c r="R67" s="358"/>
      <c r="S67" s="1016"/>
      <c r="T67" s="1016"/>
      <c r="U67" s="1005"/>
      <c r="V67" s="1005"/>
      <c r="W67" s="7"/>
    </row>
    <row r="68" spans="1:23" x14ac:dyDescent="0.3">
      <c r="A68" s="929"/>
      <c r="B68" s="17"/>
      <c r="C68" s="929"/>
      <c r="D68" s="18"/>
      <c r="E68" s="7"/>
      <c r="F68" s="7"/>
      <c r="I68" s="358"/>
      <c r="J68" s="17"/>
      <c r="K68" s="358"/>
      <c r="L68" s="18"/>
      <c r="M68" s="7"/>
      <c r="N68" s="7"/>
      <c r="R68" s="358"/>
      <c r="S68" s="17"/>
      <c r="T68" s="358"/>
      <c r="U68" s="18"/>
      <c r="V68" s="7"/>
      <c r="W68" s="7"/>
    </row>
    <row r="69" spans="1:23" x14ac:dyDescent="0.3">
      <c r="A69" s="929"/>
      <c r="B69" s="17"/>
      <c r="C69" s="17"/>
      <c r="D69" s="18"/>
      <c r="E69" s="18"/>
      <c r="F69" s="6"/>
      <c r="I69" s="358"/>
      <c r="J69" s="17"/>
      <c r="K69" s="17"/>
      <c r="L69" s="18"/>
      <c r="M69" s="18"/>
      <c r="N69" s="6"/>
      <c r="R69" s="358"/>
      <c r="S69" s="17"/>
      <c r="T69" s="17"/>
      <c r="U69" s="18"/>
      <c r="V69" s="18"/>
      <c r="W69" s="6"/>
    </row>
    <row r="70" spans="1:23" x14ac:dyDescent="0.3">
      <c r="D70" s="19"/>
      <c r="E70" s="19"/>
      <c r="L70" s="19"/>
      <c r="M70" s="19"/>
      <c r="U70" s="19"/>
      <c r="V70" s="19"/>
    </row>
    <row r="71" spans="1:23" x14ac:dyDescent="0.3">
      <c r="D71" s="19"/>
      <c r="E71" s="19"/>
      <c r="L71" s="19"/>
      <c r="M71" s="19"/>
      <c r="U71" s="19"/>
      <c r="V71" s="19"/>
    </row>
  </sheetData>
  <mergeCells count="154">
    <mergeCell ref="U66:V66"/>
    <mergeCell ref="B67:C67"/>
    <mergeCell ref="D67:E67"/>
    <mergeCell ref="J67:K67"/>
    <mergeCell ref="L67:M67"/>
    <mergeCell ref="S67:T67"/>
    <mergeCell ref="U67:V67"/>
    <mergeCell ref="B65:C65"/>
    <mergeCell ref="J65:K65"/>
    <mergeCell ref="S65:T65"/>
    <mergeCell ref="B66:C66"/>
    <mergeCell ref="D66:E66"/>
    <mergeCell ref="J66:K66"/>
    <mergeCell ref="L66:M66"/>
    <mergeCell ref="S66:T66"/>
    <mergeCell ref="B63:C63"/>
    <mergeCell ref="D63:E63"/>
    <mergeCell ref="J63:K63"/>
    <mergeCell ref="L63:M63"/>
    <mergeCell ref="S63:T63"/>
    <mergeCell ref="U63:V63"/>
    <mergeCell ref="U60:V60"/>
    <mergeCell ref="B62:C62"/>
    <mergeCell ref="D62:E62"/>
    <mergeCell ref="J62:K62"/>
    <mergeCell ref="L62:M62"/>
    <mergeCell ref="S62:T62"/>
    <mergeCell ref="U62:V62"/>
    <mergeCell ref="B59:C59"/>
    <mergeCell ref="J59:K59"/>
    <mergeCell ref="S59:T59"/>
    <mergeCell ref="B60:C60"/>
    <mergeCell ref="D60:E60"/>
    <mergeCell ref="J60:K60"/>
    <mergeCell ref="L60:M60"/>
    <mergeCell ref="S60:T60"/>
    <mergeCell ref="B57:C57"/>
    <mergeCell ref="D57:E57"/>
    <mergeCell ref="J57:K57"/>
    <mergeCell ref="L57:M57"/>
    <mergeCell ref="S57:T57"/>
    <mergeCell ref="U57:V57"/>
    <mergeCell ref="B55:E55"/>
    <mergeCell ref="J55:M55"/>
    <mergeCell ref="S55:V55"/>
    <mergeCell ref="B56:C56"/>
    <mergeCell ref="D56:E56"/>
    <mergeCell ref="J56:K56"/>
    <mergeCell ref="L56:M56"/>
    <mergeCell ref="S56:T56"/>
    <mergeCell ref="U56:V56"/>
    <mergeCell ref="B54:C54"/>
    <mergeCell ref="D54:E54"/>
    <mergeCell ref="J54:K54"/>
    <mergeCell ref="L54:M54"/>
    <mergeCell ref="S54:T54"/>
    <mergeCell ref="U54:V54"/>
    <mergeCell ref="AD40:AE40"/>
    <mergeCell ref="AM42:AN42"/>
    <mergeCell ref="AV42:AW42"/>
    <mergeCell ref="AM43:AN43"/>
    <mergeCell ref="AV43:AW43"/>
    <mergeCell ref="B53:E53"/>
    <mergeCell ref="J53:M53"/>
    <mergeCell ref="S53:V53"/>
    <mergeCell ref="AD35:AE35"/>
    <mergeCell ref="AD36:AE36"/>
    <mergeCell ref="AM38:AN38"/>
    <mergeCell ref="AV38:AW38"/>
    <mergeCell ref="AD39:AE39"/>
    <mergeCell ref="AM39:AN39"/>
    <mergeCell ref="AV39:AW39"/>
    <mergeCell ref="B34:C34"/>
    <mergeCell ref="J34:K34"/>
    <mergeCell ref="S34:T34"/>
    <mergeCell ref="B35:C35"/>
    <mergeCell ref="J35:K35"/>
    <mergeCell ref="S35:T35"/>
    <mergeCell ref="AB15:AC15"/>
    <mergeCell ref="AK15:AL15"/>
    <mergeCell ref="AT15:AU15"/>
    <mergeCell ref="B16:C16"/>
    <mergeCell ref="J16:K16"/>
    <mergeCell ref="S16:T16"/>
    <mergeCell ref="AB16:AC16"/>
    <mergeCell ref="AK16:AL16"/>
    <mergeCell ref="AT16:AU16"/>
    <mergeCell ref="B13:E13"/>
    <mergeCell ref="J13:M13"/>
    <mergeCell ref="S13:V13"/>
    <mergeCell ref="B15:C15"/>
    <mergeCell ref="J15:K15"/>
    <mergeCell ref="S15:T15"/>
    <mergeCell ref="B12:C12"/>
    <mergeCell ref="D12:E12"/>
    <mergeCell ref="J12:K12"/>
    <mergeCell ref="L12:M12"/>
    <mergeCell ref="S12:T12"/>
    <mergeCell ref="U12:V12"/>
    <mergeCell ref="AB10:AC10"/>
    <mergeCell ref="AD10:AE10"/>
    <mergeCell ref="AK10:AL10"/>
    <mergeCell ref="AM10:AN10"/>
    <mergeCell ref="AT10:AU10"/>
    <mergeCell ref="AV10:AW10"/>
    <mergeCell ref="B10:C10"/>
    <mergeCell ref="D10:E10"/>
    <mergeCell ref="J10:K10"/>
    <mergeCell ref="L10:M10"/>
    <mergeCell ref="S10:T10"/>
    <mergeCell ref="U10:V10"/>
    <mergeCell ref="AB9:AC9"/>
    <mergeCell ref="AD9:AE9"/>
    <mergeCell ref="AK9:AL9"/>
    <mergeCell ref="AM9:AN9"/>
    <mergeCell ref="AT9:AU9"/>
    <mergeCell ref="AV9:AW9"/>
    <mergeCell ref="B9:C9"/>
    <mergeCell ref="D9:E9"/>
    <mergeCell ref="J9:K9"/>
    <mergeCell ref="L9:M9"/>
    <mergeCell ref="S9:T9"/>
    <mergeCell ref="U9:V9"/>
    <mergeCell ref="B8:E8"/>
    <mergeCell ref="J8:M8"/>
    <mergeCell ref="S8:V8"/>
    <mergeCell ref="AB8:AE8"/>
    <mergeCell ref="AK8:AN8"/>
    <mergeCell ref="AT8:AW8"/>
    <mergeCell ref="B7:C7"/>
    <mergeCell ref="J7:K7"/>
    <mergeCell ref="S7:T7"/>
    <mergeCell ref="AB7:AC7"/>
    <mergeCell ref="AK7:AL7"/>
    <mergeCell ref="AT7:AU7"/>
    <mergeCell ref="E7:F7"/>
    <mergeCell ref="B3:F3"/>
    <mergeCell ref="J3:N3"/>
    <mergeCell ref="S3:W3"/>
    <mergeCell ref="AB3:AF3"/>
    <mergeCell ref="AK3:AO3"/>
    <mergeCell ref="AT3:AX3"/>
    <mergeCell ref="B5:E5"/>
    <mergeCell ref="J5:M5"/>
    <mergeCell ref="S5:V5"/>
    <mergeCell ref="AB5:AE5"/>
    <mergeCell ref="AK5:AN5"/>
    <mergeCell ref="AT5:AW5"/>
    <mergeCell ref="A4:E4"/>
    <mergeCell ref="I4:M4"/>
    <mergeCell ref="R4:V4"/>
    <mergeCell ref="AA4:AE4"/>
    <mergeCell ref="AJ4:AN4"/>
    <mergeCell ref="AS4:AW4"/>
  </mergeCells>
  <dataValidations count="3">
    <dataValidation type="list" allowBlank="1" showInputMessage="1" showErrorMessage="1" sqref="AV42 AD39 AM42">
      <formula1>#REF!</formula1>
    </dataValidation>
    <dataValidation type="list" allowBlank="1" showInputMessage="1" showErrorMessage="1" sqref="U66 L66 D66">
      <formula1>$AJ$75:$AJ$76</formula1>
    </dataValidation>
    <dataValidation type="whole" allowBlank="1" showInputMessage="1" showErrorMessage="1" sqref="U62 L9 L56 L62 AD9 AD35 AM9 AM38 AV9 AV38 U9 U56 D9 D56 D62">
      <formula1>-999999999</formula1>
      <formula2>999999999</formula2>
    </dataValidation>
  </dataValidations>
  <pageMargins left="0.25" right="0.25" top="0.18" bottom="0.19" header="0.17" footer="0.17"/>
  <pageSetup scale="95"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B1:L254"/>
  <sheetViews>
    <sheetView topLeftCell="B211" workbookViewId="0">
      <selection activeCell="E221" sqref="E221"/>
    </sheetView>
  </sheetViews>
  <sheetFormatPr defaultColWidth="9.08984375" defaultRowHeight="14" x14ac:dyDescent="0.3"/>
  <cols>
    <col min="1" max="1" width="1.36328125" style="13" customWidth="1"/>
    <col min="2" max="2" width="1.90625" style="13" customWidth="1"/>
    <col min="3" max="3" width="24" style="13" customWidth="1"/>
    <col min="4" max="4" width="31" style="13" customWidth="1"/>
    <col min="5" max="5" width="17.90625" style="13" customWidth="1"/>
    <col min="6" max="6" width="27.08984375" style="13" customWidth="1"/>
    <col min="7" max="7" width="27.6328125" style="13" customWidth="1"/>
    <col min="8" max="8" width="15.6328125" style="13" customWidth="1"/>
    <col min="9" max="9" width="1.54296875" style="13" customWidth="1"/>
    <col min="10" max="10" width="13.90625" style="13" customWidth="1"/>
    <col min="11" max="16384" width="9.08984375" style="13"/>
  </cols>
  <sheetData>
    <row r="1" spans="2:12" ht="14.5" thickBot="1" x14ac:dyDescent="0.35"/>
    <row r="2" spans="2:12" ht="14.5" thickBot="1" x14ac:dyDescent="0.35">
      <c r="B2" s="69"/>
      <c r="C2" s="38"/>
      <c r="D2" s="38"/>
      <c r="E2" s="38"/>
      <c r="F2" s="38"/>
      <c r="G2" s="38"/>
      <c r="H2" s="38"/>
      <c r="I2" s="39"/>
      <c r="K2" s="528"/>
    </row>
    <row r="3" spans="2:12" ht="14.5" thickBot="1" x14ac:dyDescent="0.35">
      <c r="B3" s="70"/>
      <c r="C3" s="979" t="s">
        <v>296</v>
      </c>
      <c r="D3" s="980"/>
      <c r="E3" s="980"/>
      <c r="F3" s="980"/>
      <c r="G3" s="980"/>
      <c r="H3" s="981"/>
      <c r="I3" s="28"/>
      <c r="K3" s="528"/>
    </row>
    <row r="4" spans="2:12" x14ac:dyDescent="0.3">
      <c r="B4" s="1047"/>
      <c r="C4" s="1048"/>
      <c r="D4" s="1048"/>
      <c r="E4" s="1048"/>
      <c r="F4" s="1048"/>
      <c r="G4" s="1048"/>
      <c r="H4" s="1048"/>
      <c r="I4" s="28"/>
    </row>
    <row r="5" spans="2:12" ht="14.5" thickBot="1" x14ac:dyDescent="0.35">
      <c r="B5" s="29"/>
      <c r="C5" s="1049" t="s">
        <v>297</v>
      </c>
      <c r="D5" s="1049"/>
      <c r="E5" s="1049"/>
      <c r="F5" s="1049"/>
      <c r="G5" s="1049"/>
      <c r="H5" s="1049"/>
      <c r="I5" s="28"/>
    </row>
    <row r="6" spans="2:12" ht="14.5" thickBot="1" x14ac:dyDescent="0.35">
      <c r="B6" s="29"/>
      <c r="C6" s="1049" t="s">
        <v>298</v>
      </c>
      <c r="D6" s="1049"/>
      <c r="E6" s="1049"/>
      <c r="F6" s="1050"/>
      <c r="G6" s="947">
        <v>13</v>
      </c>
      <c r="H6" s="30"/>
      <c r="I6" s="28"/>
      <c r="J6" s="1017"/>
      <c r="K6" s="1018"/>
      <c r="L6" s="1018"/>
    </row>
    <row r="7" spans="2:12" x14ac:dyDescent="0.3">
      <c r="B7" s="29"/>
      <c r="C7" s="30"/>
      <c r="D7" s="31"/>
      <c r="E7" s="30"/>
      <c r="F7" s="30"/>
      <c r="G7" s="30"/>
      <c r="H7" s="30"/>
      <c r="I7" s="28"/>
      <c r="J7" s="1017"/>
      <c r="K7" s="1018"/>
      <c r="L7" s="1018"/>
    </row>
    <row r="8" spans="2:12" x14ac:dyDescent="0.3">
      <c r="B8" s="29"/>
      <c r="C8" s="1051" t="s">
        <v>299</v>
      </c>
      <c r="D8" s="1051"/>
      <c r="E8" s="32"/>
      <c r="F8" s="32"/>
      <c r="G8" s="32"/>
      <c r="H8" s="32"/>
      <c r="I8" s="28"/>
      <c r="J8" s="1017"/>
      <c r="K8" s="1018"/>
      <c r="L8" s="1018"/>
    </row>
    <row r="9" spans="2:12" ht="14.5" thickBot="1" x14ac:dyDescent="0.35">
      <c r="B9" s="29"/>
      <c r="C9" s="1051" t="s">
        <v>300</v>
      </c>
      <c r="D9" s="1051"/>
      <c r="E9" s="1051"/>
      <c r="F9" s="1051"/>
      <c r="G9" s="1051"/>
      <c r="H9" s="1051"/>
      <c r="I9" s="28"/>
    </row>
    <row r="10" spans="2:12" ht="43.5" x14ac:dyDescent="0.3">
      <c r="B10" s="29"/>
      <c r="C10" s="613" t="s">
        <v>301</v>
      </c>
      <c r="D10" s="614" t="s">
        <v>302</v>
      </c>
      <c r="E10" s="615" t="s">
        <v>303</v>
      </c>
      <c r="F10" s="615" t="s">
        <v>304</v>
      </c>
      <c r="G10" s="615" t="s">
        <v>305</v>
      </c>
      <c r="H10" s="616" t="s">
        <v>306</v>
      </c>
      <c r="I10" s="28"/>
    </row>
    <row r="11" spans="2:12" ht="101.5" x14ac:dyDescent="0.3">
      <c r="B11" s="29"/>
      <c r="C11" s="617" t="s">
        <v>307</v>
      </c>
      <c r="D11" s="618" t="s">
        <v>1541</v>
      </c>
      <c r="E11" s="619">
        <v>19200</v>
      </c>
      <c r="F11" s="620" t="s">
        <v>308</v>
      </c>
      <c r="G11" s="619">
        <v>19200</v>
      </c>
      <c r="H11" s="621">
        <v>0</v>
      </c>
      <c r="I11" s="28"/>
    </row>
    <row r="12" spans="2:12" ht="29" x14ac:dyDescent="0.3">
      <c r="B12" s="29"/>
      <c r="C12" s="617" t="s">
        <v>309</v>
      </c>
      <c r="D12" s="618" t="s">
        <v>310</v>
      </c>
      <c r="E12" s="619">
        <v>54021.22</v>
      </c>
      <c r="F12" s="620" t="s">
        <v>311</v>
      </c>
      <c r="G12" s="619">
        <v>54021.22</v>
      </c>
      <c r="H12" s="621">
        <v>0</v>
      </c>
      <c r="I12" s="28"/>
    </row>
    <row r="13" spans="2:12" ht="14.5" x14ac:dyDescent="0.3">
      <c r="B13" s="29"/>
      <c r="C13" s="617" t="s">
        <v>309</v>
      </c>
      <c r="D13" s="618" t="s">
        <v>312</v>
      </c>
      <c r="E13" s="619">
        <v>133000</v>
      </c>
      <c r="F13" s="620" t="s">
        <v>313</v>
      </c>
      <c r="G13" s="619">
        <v>65793</v>
      </c>
      <c r="H13" s="621">
        <v>67207</v>
      </c>
      <c r="I13" s="28"/>
    </row>
    <row r="14" spans="2:12" ht="29" x14ac:dyDescent="0.3">
      <c r="B14" s="29"/>
      <c r="C14" s="617" t="s">
        <v>309</v>
      </c>
      <c r="D14" s="618" t="s">
        <v>314</v>
      </c>
      <c r="E14" s="619">
        <v>14690.66</v>
      </c>
      <c r="F14" s="620" t="s">
        <v>315</v>
      </c>
      <c r="G14" s="619">
        <v>14690.66</v>
      </c>
      <c r="H14" s="621">
        <v>0</v>
      </c>
      <c r="I14" s="28"/>
    </row>
    <row r="15" spans="2:12" ht="29" x14ac:dyDescent="0.3">
      <c r="B15" s="29"/>
      <c r="C15" s="617" t="s">
        <v>309</v>
      </c>
      <c r="D15" s="618" t="s">
        <v>316</v>
      </c>
      <c r="E15" s="619">
        <v>47548.91</v>
      </c>
      <c r="F15" s="620" t="s">
        <v>317</v>
      </c>
      <c r="G15" s="619">
        <v>47548.91</v>
      </c>
      <c r="H15" s="621">
        <v>0</v>
      </c>
      <c r="I15" s="28"/>
    </row>
    <row r="16" spans="2:12" ht="29" x14ac:dyDescent="0.3">
      <c r="B16" s="29"/>
      <c r="C16" s="617" t="s">
        <v>309</v>
      </c>
      <c r="D16" s="618" t="s">
        <v>316</v>
      </c>
      <c r="E16" s="619">
        <v>55641</v>
      </c>
      <c r="F16" s="620" t="s">
        <v>318</v>
      </c>
      <c r="G16" s="619">
        <v>55641</v>
      </c>
      <c r="H16" s="621">
        <v>0</v>
      </c>
      <c r="I16" s="28"/>
    </row>
    <row r="17" spans="2:9" ht="72.5" x14ac:dyDescent="0.3">
      <c r="B17" s="29"/>
      <c r="C17" s="622" t="s">
        <v>309</v>
      </c>
      <c r="D17" s="623" t="s">
        <v>319</v>
      </c>
      <c r="E17" s="624">
        <v>2650</v>
      </c>
      <c r="F17" s="625">
        <v>42353</v>
      </c>
      <c r="G17" s="624">
        <v>2650</v>
      </c>
      <c r="H17" s="621">
        <f t="shared" ref="H17:H28" si="0">+E17-G17</f>
        <v>0</v>
      </c>
      <c r="I17" s="28"/>
    </row>
    <row r="18" spans="2:9" ht="72.5" x14ac:dyDescent="0.3">
      <c r="B18" s="29"/>
      <c r="C18" s="622" t="s">
        <v>309</v>
      </c>
      <c r="D18" s="623" t="s">
        <v>320</v>
      </c>
      <c r="E18" s="624">
        <v>2820</v>
      </c>
      <c r="F18" s="625">
        <v>42345</v>
      </c>
      <c r="G18" s="624">
        <v>2820</v>
      </c>
      <c r="H18" s="621">
        <f t="shared" si="0"/>
        <v>0</v>
      </c>
      <c r="I18" s="28"/>
    </row>
    <row r="19" spans="2:9" ht="87" x14ac:dyDescent="0.3">
      <c r="B19" s="29"/>
      <c r="C19" s="622" t="s">
        <v>309</v>
      </c>
      <c r="D19" s="623" t="s">
        <v>321</v>
      </c>
      <c r="E19" s="624">
        <v>7250</v>
      </c>
      <c r="F19" s="625">
        <v>42345</v>
      </c>
      <c r="G19" s="624">
        <v>7250</v>
      </c>
      <c r="H19" s="621">
        <f t="shared" si="0"/>
        <v>0</v>
      </c>
      <c r="I19" s="28"/>
    </row>
    <row r="20" spans="2:9" ht="116" x14ac:dyDescent="0.3">
      <c r="B20" s="29"/>
      <c r="C20" s="622" t="s">
        <v>309</v>
      </c>
      <c r="D20" s="623" t="s">
        <v>322</v>
      </c>
      <c r="E20" s="624">
        <v>10918.2</v>
      </c>
      <c r="F20" s="625">
        <v>42332</v>
      </c>
      <c r="G20" s="624">
        <v>10918.2</v>
      </c>
      <c r="H20" s="621">
        <f t="shared" si="0"/>
        <v>0</v>
      </c>
      <c r="I20" s="28"/>
    </row>
    <row r="21" spans="2:9" ht="116" x14ac:dyDescent="0.3">
      <c r="B21" s="29"/>
      <c r="C21" s="622" t="s">
        <v>309</v>
      </c>
      <c r="D21" s="623" t="s">
        <v>323</v>
      </c>
      <c r="E21" s="624">
        <v>2768.5</v>
      </c>
      <c r="F21" s="625">
        <v>42320</v>
      </c>
      <c r="G21" s="624">
        <v>2768.5</v>
      </c>
      <c r="H21" s="621">
        <f t="shared" si="0"/>
        <v>0</v>
      </c>
      <c r="I21" s="28"/>
    </row>
    <row r="22" spans="2:9" ht="116" x14ac:dyDescent="0.3">
      <c r="B22" s="29"/>
      <c r="C22" s="622" t="s">
        <v>309</v>
      </c>
      <c r="D22" s="623" t="s">
        <v>1542</v>
      </c>
      <c r="E22" s="624">
        <v>37000</v>
      </c>
      <c r="F22" s="625">
        <v>42417</v>
      </c>
      <c r="G22" s="624">
        <v>37000</v>
      </c>
      <c r="H22" s="621">
        <f t="shared" si="0"/>
        <v>0</v>
      </c>
      <c r="I22" s="28"/>
    </row>
    <row r="23" spans="2:9" ht="145" x14ac:dyDescent="0.3">
      <c r="B23" s="29"/>
      <c r="C23" s="622" t="s">
        <v>309</v>
      </c>
      <c r="D23" s="623" t="s">
        <v>1543</v>
      </c>
      <c r="E23" s="624">
        <v>38300</v>
      </c>
      <c r="F23" s="625">
        <v>42261</v>
      </c>
      <c r="G23" s="624">
        <v>38300</v>
      </c>
      <c r="H23" s="621">
        <f t="shared" si="0"/>
        <v>0</v>
      </c>
      <c r="I23" s="28"/>
    </row>
    <row r="24" spans="2:9" ht="58" x14ac:dyDescent="0.3">
      <c r="B24" s="29"/>
      <c r="C24" s="622" t="s">
        <v>309</v>
      </c>
      <c r="D24" s="623" t="s">
        <v>1544</v>
      </c>
      <c r="E24" s="624">
        <v>4400</v>
      </c>
      <c r="F24" s="625">
        <v>42254</v>
      </c>
      <c r="G24" s="624">
        <v>4400</v>
      </c>
      <c r="H24" s="621">
        <f t="shared" si="0"/>
        <v>0</v>
      </c>
      <c r="I24" s="28"/>
    </row>
    <row r="25" spans="2:9" ht="87" x14ac:dyDescent="0.3">
      <c r="B25" s="29"/>
      <c r="C25" s="622" t="s">
        <v>309</v>
      </c>
      <c r="D25" s="539" t="s">
        <v>1545</v>
      </c>
      <c r="E25" s="626">
        <v>11191.74</v>
      </c>
      <c r="F25" s="625">
        <v>42394</v>
      </c>
      <c r="G25" s="624">
        <v>11191.74</v>
      </c>
      <c r="H25" s="621">
        <f t="shared" si="0"/>
        <v>0</v>
      </c>
      <c r="I25" s="28"/>
    </row>
    <row r="26" spans="2:9" ht="87" x14ac:dyDescent="0.3">
      <c r="B26" s="29"/>
      <c r="C26" s="622" t="s">
        <v>309</v>
      </c>
      <c r="D26" s="623" t="s">
        <v>324</v>
      </c>
      <c r="E26" s="627">
        <v>15719.98</v>
      </c>
      <c r="F26" s="625">
        <v>42445</v>
      </c>
      <c r="G26" s="624">
        <v>15719.98</v>
      </c>
      <c r="H26" s="621">
        <f t="shared" si="0"/>
        <v>0</v>
      </c>
      <c r="I26" s="28"/>
    </row>
    <row r="27" spans="2:9" ht="87" x14ac:dyDescent="0.3">
      <c r="B27" s="29"/>
      <c r="C27" s="622" t="s">
        <v>309</v>
      </c>
      <c r="D27" s="539" t="s">
        <v>1546</v>
      </c>
      <c r="E27" s="626">
        <v>2557.1</v>
      </c>
      <c r="F27" s="625">
        <v>42029</v>
      </c>
      <c r="G27" s="624">
        <v>2557.1</v>
      </c>
      <c r="H27" s="621">
        <f t="shared" si="0"/>
        <v>0</v>
      </c>
      <c r="I27" s="28"/>
    </row>
    <row r="28" spans="2:9" ht="116.5" thickBot="1" x14ac:dyDescent="0.35">
      <c r="B28" s="29"/>
      <c r="C28" s="622" t="s">
        <v>309</v>
      </c>
      <c r="D28" s="566" t="s">
        <v>1547</v>
      </c>
      <c r="E28" s="624">
        <v>3000</v>
      </c>
      <c r="F28" s="625" t="s">
        <v>325</v>
      </c>
      <c r="G28" s="624">
        <v>2400</v>
      </c>
      <c r="H28" s="621">
        <f t="shared" si="0"/>
        <v>600</v>
      </c>
      <c r="I28" s="28"/>
    </row>
    <row r="29" spans="2:9" ht="29" x14ac:dyDescent="0.3">
      <c r="B29" s="29"/>
      <c r="C29" s="628" t="s">
        <v>326</v>
      </c>
      <c r="D29" s="618" t="s">
        <v>1548</v>
      </c>
      <c r="E29" s="619">
        <v>335389.59999999998</v>
      </c>
      <c r="F29" s="620" t="s">
        <v>327</v>
      </c>
      <c r="G29" s="619">
        <f>119512.4+13682.2</f>
        <v>133194.6</v>
      </c>
      <c r="H29" s="621">
        <f>E29-G29</f>
        <v>202194.99999999997</v>
      </c>
      <c r="I29" s="28"/>
    </row>
    <row r="30" spans="2:9" ht="26" x14ac:dyDescent="0.3">
      <c r="B30" s="29"/>
      <c r="C30" s="382" t="s">
        <v>309</v>
      </c>
      <c r="D30" s="383" t="s">
        <v>328</v>
      </c>
      <c r="E30" s="384">
        <v>51837.53</v>
      </c>
      <c r="F30" s="385">
        <v>42388</v>
      </c>
      <c r="G30" s="386">
        <f t="shared" ref="G30:G66" si="1">+E30</f>
        <v>51837.53</v>
      </c>
      <c r="H30" s="387">
        <f t="shared" ref="H30:H31" si="2">E30-G30</f>
        <v>0</v>
      </c>
      <c r="I30" s="28"/>
    </row>
    <row r="31" spans="2:9" ht="26" x14ac:dyDescent="0.3">
      <c r="B31" s="29"/>
      <c r="C31" s="382" t="s">
        <v>309</v>
      </c>
      <c r="D31" s="383" t="s">
        <v>329</v>
      </c>
      <c r="E31" s="384">
        <v>69411.199999999997</v>
      </c>
      <c r="F31" s="385">
        <v>42425</v>
      </c>
      <c r="G31" s="386">
        <f t="shared" si="1"/>
        <v>69411.199999999997</v>
      </c>
      <c r="H31" s="387">
        <f t="shared" si="2"/>
        <v>0</v>
      </c>
      <c r="I31" s="28"/>
    </row>
    <row r="32" spans="2:9" ht="26" x14ac:dyDescent="0.3">
      <c r="B32" s="29"/>
      <c r="C32" s="382" t="s">
        <v>309</v>
      </c>
      <c r="D32" s="383" t="s">
        <v>330</v>
      </c>
      <c r="E32" s="384">
        <v>22034.73</v>
      </c>
      <c r="F32" s="385">
        <v>42425</v>
      </c>
      <c r="G32" s="386">
        <f t="shared" si="1"/>
        <v>22034.73</v>
      </c>
      <c r="H32" s="387">
        <f>E32-G32</f>
        <v>0</v>
      </c>
      <c r="I32" s="28"/>
    </row>
    <row r="33" spans="2:9" ht="26" x14ac:dyDescent="0.3">
      <c r="B33" s="29"/>
      <c r="C33" s="382" t="s">
        <v>309</v>
      </c>
      <c r="D33" s="383" t="s">
        <v>331</v>
      </c>
      <c r="E33" s="384">
        <v>118636.4</v>
      </c>
      <c r="F33" s="385">
        <v>42425</v>
      </c>
      <c r="G33" s="386">
        <f t="shared" si="1"/>
        <v>118636.4</v>
      </c>
      <c r="H33" s="387">
        <f>E33-G33</f>
        <v>0</v>
      </c>
      <c r="I33" s="28"/>
    </row>
    <row r="34" spans="2:9" x14ac:dyDescent="0.3">
      <c r="B34" s="29"/>
      <c r="C34" s="382" t="s">
        <v>309</v>
      </c>
      <c r="D34" s="383" t="s">
        <v>332</v>
      </c>
      <c r="E34" s="384">
        <v>78285.94</v>
      </c>
      <c r="F34" s="385">
        <v>42431</v>
      </c>
      <c r="G34" s="386">
        <f t="shared" si="1"/>
        <v>78285.94</v>
      </c>
      <c r="H34" s="387">
        <f>E34-G34</f>
        <v>0</v>
      </c>
      <c r="I34" s="28"/>
    </row>
    <row r="35" spans="2:9" ht="26" x14ac:dyDescent="0.3">
      <c r="B35" s="29"/>
      <c r="C35" s="382" t="s">
        <v>309</v>
      </c>
      <c r="D35" s="383" t="s">
        <v>333</v>
      </c>
      <c r="E35" s="384">
        <v>59695.28</v>
      </c>
      <c r="F35" s="385">
        <v>42460</v>
      </c>
      <c r="G35" s="386">
        <f t="shared" si="1"/>
        <v>59695.28</v>
      </c>
      <c r="H35" s="387"/>
      <c r="I35" s="28"/>
    </row>
    <row r="36" spans="2:9" ht="26" x14ac:dyDescent="0.3">
      <c r="B36" s="29"/>
      <c r="C36" s="382" t="s">
        <v>309</v>
      </c>
      <c r="D36" s="383" t="s">
        <v>334</v>
      </c>
      <c r="E36" s="384">
        <v>60370.400000000001</v>
      </c>
      <c r="F36" s="385">
        <v>42460</v>
      </c>
      <c r="G36" s="386">
        <f t="shared" si="1"/>
        <v>60370.400000000001</v>
      </c>
      <c r="H36" s="387">
        <f>E36-G36</f>
        <v>0</v>
      </c>
      <c r="I36" s="28"/>
    </row>
    <row r="37" spans="2:9" x14ac:dyDescent="0.3">
      <c r="B37" s="29"/>
      <c r="C37" s="382" t="s">
        <v>309</v>
      </c>
      <c r="D37" s="383" t="s">
        <v>335</v>
      </c>
      <c r="E37" s="384">
        <v>40468.590000000004</v>
      </c>
      <c r="F37" s="385">
        <v>42502</v>
      </c>
      <c r="G37" s="386">
        <f t="shared" si="1"/>
        <v>40468.590000000004</v>
      </c>
      <c r="H37" s="387"/>
      <c r="I37" s="28"/>
    </row>
    <row r="38" spans="2:9" ht="26" x14ac:dyDescent="0.3">
      <c r="B38" s="29"/>
      <c r="C38" s="382" t="s">
        <v>309</v>
      </c>
      <c r="D38" s="383" t="s">
        <v>333</v>
      </c>
      <c r="E38" s="384">
        <v>10621.2</v>
      </c>
      <c r="F38" s="385">
        <v>42509</v>
      </c>
      <c r="G38" s="386">
        <f t="shared" si="1"/>
        <v>10621.2</v>
      </c>
      <c r="H38" s="387"/>
      <c r="I38" s="28"/>
    </row>
    <row r="39" spans="2:9" ht="26" x14ac:dyDescent="0.3">
      <c r="B39" s="29"/>
      <c r="C39" s="382" t="s">
        <v>309</v>
      </c>
      <c r="D39" s="383" t="s">
        <v>329</v>
      </c>
      <c r="E39" s="384">
        <v>18421.599999999999</v>
      </c>
      <c r="F39" s="385">
        <v>42524</v>
      </c>
      <c r="G39" s="386">
        <f t="shared" si="1"/>
        <v>18421.599999999999</v>
      </c>
      <c r="H39" s="387"/>
      <c r="I39" s="28"/>
    </row>
    <row r="40" spans="2:9" x14ac:dyDescent="0.3">
      <c r="B40" s="29"/>
      <c r="C40" s="382" t="s">
        <v>309</v>
      </c>
      <c r="D40" s="383" t="s">
        <v>337</v>
      </c>
      <c r="E40" s="384">
        <v>17590.2</v>
      </c>
      <c r="F40" s="385">
        <v>42534</v>
      </c>
      <c r="G40" s="386">
        <f>+E40</f>
        <v>17590.2</v>
      </c>
      <c r="H40" s="387">
        <f>E40-G40</f>
        <v>0</v>
      </c>
      <c r="I40" s="28"/>
    </row>
    <row r="41" spans="2:9" ht="26" x14ac:dyDescent="0.3">
      <c r="B41" s="29"/>
      <c r="C41" s="382" t="s">
        <v>309</v>
      </c>
      <c r="D41" s="383" t="s">
        <v>329</v>
      </c>
      <c r="E41" s="384">
        <v>11217.96</v>
      </c>
      <c r="F41" s="385">
        <v>42565</v>
      </c>
      <c r="G41" s="386">
        <f t="shared" si="1"/>
        <v>11217.96</v>
      </c>
      <c r="H41" s="387"/>
      <c r="I41" s="28"/>
    </row>
    <row r="42" spans="2:9" x14ac:dyDescent="0.3">
      <c r="B42" s="29"/>
      <c r="C42" s="382" t="s">
        <v>309</v>
      </c>
      <c r="D42" s="383" t="s">
        <v>332</v>
      </c>
      <c r="E42" s="384">
        <v>12044</v>
      </c>
      <c r="F42" s="385">
        <v>42565</v>
      </c>
      <c r="G42" s="386">
        <f t="shared" si="1"/>
        <v>12044</v>
      </c>
      <c r="H42" s="387"/>
      <c r="I42" s="28"/>
    </row>
    <row r="43" spans="2:9" ht="26" x14ac:dyDescent="0.3">
      <c r="B43" s="29"/>
      <c r="C43" s="382" t="s">
        <v>309</v>
      </c>
      <c r="D43" s="383" t="s">
        <v>333</v>
      </c>
      <c r="E43" s="384">
        <v>6076.31</v>
      </c>
      <c r="F43" s="385">
        <v>42565</v>
      </c>
      <c r="G43" s="386">
        <f t="shared" si="1"/>
        <v>6076.31</v>
      </c>
      <c r="H43" s="387"/>
      <c r="I43" s="28"/>
    </row>
    <row r="44" spans="2:9" x14ac:dyDescent="0.3">
      <c r="B44" s="29"/>
      <c r="C44" s="382" t="s">
        <v>309</v>
      </c>
      <c r="D44" s="383" t="s">
        <v>335</v>
      </c>
      <c r="E44" s="384">
        <v>11973.8</v>
      </c>
      <c r="F44" s="385">
        <v>42565</v>
      </c>
      <c r="G44" s="386">
        <f t="shared" si="1"/>
        <v>11973.8</v>
      </c>
      <c r="H44" s="387"/>
      <c r="I44" s="28"/>
    </row>
    <row r="45" spans="2:9" x14ac:dyDescent="0.3">
      <c r="B45" s="29"/>
      <c r="C45" s="382" t="s">
        <v>309</v>
      </c>
      <c r="D45" s="383" t="s">
        <v>337</v>
      </c>
      <c r="E45" s="384">
        <v>16394</v>
      </c>
      <c r="F45" s="385">
        <v>42565</v>
      </c>
      <c r="G45" s="386">
        <f t="shared" si="1"/>
        <v>16394</v>
      </c>
      <c r="H45" s="387">
        <f>E45-G45</f>
        <v>0</v>
      </c>
      <c r="I45" s="28"/>
    </row>
    <row r="46" spans="2:9" ht="26" x14ac:dyDescent="0.3">
      <c r="B46" s="29"/>
      <c r="C46" s="382" t="s">
        <v>326</v>
      </c>
      <c r="D46" s="383" t="s">
        <v>334</v>
      </c>
      <c r="E46" s="384">
        <v>109449.85</v>
      </c>
      <c r="F46" s="385">
        <v>42556</v>
      </c>
      <c r="G46" s="386">
        <f t="shared" si="1"/>
        <v>109449.85</v>
      </c>
      <c r="H46" s="387">
        <f>E46-G46</f>
        <v>0</v>
      </c>
      <c r="I46" s="28"/>
    </row>
    <row r="47" spans="2:9" ht="14.5" x14ac:dyDescent="0.35">
      <c r="B47" s="29"/>
      <c r="C47" s="382" t="s">
        <v>326</v>
      </c>
      <c r="D47" s="383" t="s">
        <v>338</v>
      </c>
      <c r="E47" s="246">
        <v>4668.3</v>
      </c>
      <c r="F47" s="385">
        <v>42566</v>
      </c>
      <c r="G47" s="386">
        <f t="shared" si="1"/>
        <v>4668.3</v>
      </c>
      <c r="H47" s="387">
        <f>E47-G47</f>
        <v>0</v>
      </c>
      <c r="I47" s="28"/>
    </row>
    <row r="48" spans="2:9" ht="26" x14ac:dyDescent="0.3">
      <c r="B48" s="29"/>
      <c r="C48" s="382" t="s">
        <v>309</v>
      </c>
      <c r="D48" s="383" t="s">
        <v>331</v>
      </c>
      <c r="E48" s="384">
        <v>10840</v>
      </c>
      <c r="F48" s="385">
        <v>42601</v>
      </c>
      <c r="G48" s="386">
        <f t="shared" si="1"/>
        <v>10840</v>
      </c>
      <c r="H48" s="387"/>
      <c r="I48" s="28"/>
    </row>
    <row r="49" spans="2:9" x14ac:dyDescent="0.3">
      <c r="B49" s="29"/>
      <c r="C49" s="382" t="s">
        <v>309</v>
      </c>
      <c r="D49" s="383" t="s">
        <v>335</v>
      </c>
      <c r="E49" s="384">
        <v>41518.449999999997</v>
      </c>
      <c r="F49" s="385">
        <v>42601</v>
      </c>
      <c r="G49" s="386">
        <f t="shared" si="1"/>
        <v>41518.449999999997</v>
      </c>
      <c r="H49" s="387"/>
      <c r="I49" s="28"/>
    </row>
    <row r="50" spans="2:9" ht="26" x14ac:dyDescent="0.3">
      <c r="B50" s="29"/>
      <c r="C50" s="382" t="s">
        <v>309</v>
      </c>
      <c r="D50" s="383" t="s">
        <v>333</v>
      </c>
      <c r="E50" s="384">
        <v>3820</v>
      </c>
      <c r="F50" s="385">
        <v>42601</v>
      </c>
      <c r="G50" s="386">
        <f t="shared" si="1"/>
        <v>3820</v>
      </c>
      <c r="H50" s="387">
        <f t="shared" ref="H50:H54" si="3">E50-G50</f>
        <v>0</v>
      </c>
      <c r="I50" s="28"/>
    </row>
    <row r="51" spans="2:9" x14ac:dyDescent="0.3">
      <c r="B51" s="29"/>
      <c r="C51" s="382" t="s">
        <v>309</v>
      </c>
      <c r="D51" s="383" t="s">
        <v>339</v>
      </c>
      <c r="E51" s="384">
        <v>8150</v>
      </c>
      <c r="F51" s="385">
        <v>42605</v>
      </c>
      <c r="G51" s="386">
        <f t="shared" si="1"/>
        <v>8150</v>
      </c>
      <c r="H51" s="387">
        <f t="shared" si="3"/>
        <v>0</v>
      </c>
      <c r="I51" s="28"/>
    </row>
    <row r="52" spans="2:9" x14ac:dyDescent="0.3">
      <c r="B52" s="29"/>
      <c r="C52" s="382" t="s">
        <v>326</v>
      </c>
      <c r="D52" s="383" t="s">
        <v>340</v>
      </c>
      <c r="E52" s="384">
        <v>63265.440000000002</v>
      </c>
      <c r="F52" s="385">
        <v>42601</v>
      </c>
      <c r="G52" s="386">
        <f t="shared" si="1"/>
        <v>63265.440000000002</v>
      </c>
      <c r="H52" s="387">
        <f t="shared" si="3"/>
        <v>0</v>
      </c>
      <c r="I52" s="28"/>
    </row>
    <row r="53" spans="2:9" ht="26" x14ac:dyDescent="0.3">
      <c r="B53" s="29"/>
      <c r="C53" s="382" t="s">
        <v>326</v>
      </c>
      <c r="D53" s="383" t="s">
        <v>341</v>
      </c>
      <c r="E53" s="384">
        <v>165169.63</v>
      </c>
      <c r="F53" s="385">
        <v>42601</v>
      </c>
      <c r="G53" s="386">
        <f t="shared" si="1"/>
        <v>165169.63</v>
      </c>
      <c r="H53" s="387">
        <f t="shared" si="3"/>
        <v>0</v>
      </c>
      <c r="I53" s="28"/>
    </row>
    <row r="54" spans="2:9" ht="26" x14ac:dyDescent="0.3">
      <c r="B54" s="29"/>
      <c r="C54" s="382" t="s">
        <v>326</v>
      </c>
      <c r="D54" s="383" t="s">
        <v>342</v>
      </c>
      <c r="E54" s="384">
        <v>4560</v>
      </c>
      <c r="F54" s="385">
        <v>42590</v>
      </c>
      <c r="G54" s="386">
        <f t="shared" si="1"/>
        <v>4560</v>
      </c>
      <c r="H54" s="387">
        <f t="shared" si="3"/>
        <v>0</v>
      </c>
      <c r="I54" s="28"/>
    </row>
    <row r="55" spans="2:9" x14ac:dyDescent="0.3">
      <c r="B55" s="29"/>
      <c r="C55" s="382" t="s">
        <v>309</v>
      </c>
      <c r="D55" s="383" t="s">
        <v>336</v>
      </c>
      <c r="E55" s="384">
        <v>17227</v>
      </c>
      <c r="F55" s="385">
        <v>42629</v>
      </c>
      <c r="G55" s="386">
        <f t="shared" si="1"/>
        <v>17227</v>
      </c>
      <c r="H55" s="387"/>
      <c r="I55" s="28"/>
    </row>
    <row r="56" spans="2:9" ht="26" x14ac:dyDescent="0.3">
      <c r="B56" s="29"/>
      <c r="C56" s="382" t="s">
        <v>309</v>
      </c>
      <c r="D56" s="383" t="s">
        <v>343</v>
      </c>
      <c r="E56" s="384">
        <v>62700</v>
      </c>
      <c r="F56" s="385">
        <v>42629</v>
      </c>
      <c r="G56" s="386">
        <f t="shared" si="1"/>
        <v>62700</v>
      </c>
      <c r="H56" s="387">
        <f>E56-G56</f>
        <v>0</v>
      </c>
      <c r="I56" s="28"/>
    </row>
    <row r="57" spans="2:9" x14ac:dyDescent="0.3">
      <c r="B57" s="29"/>
      <c r="C57" s="382" t="s">
        <v>309</v>
      </c>
      <c r="D57" s="383" t="s">
        <v>336</v>
      </c>
      <c r="E57" s="384">
        <v>3910</v>
      </c>
      <c r="F57" s="385">
        <v>42629</v>
      </c>
      <c r="G57" s="386">
        <f>+E57</f>
        <v>3910</v>
      </c>
      <c r="H57" s="387"/>
      <c r="I57" s="28"/>
    </row>
    <row r="58" spans="2:9" ht="26" x14ac:dyDescent="0.3">
      <c r="B58" s="29"/>
      <c r="C58" s="382" t="s">
        <v>309</v>
      </c>
      <c r="D58" s="383" t="s">
        <v>344</v>
      </c>
      <c r="E58" s="384">
        <v>3861.7</v>
      </c>
      <c r="F58" s="385">
        <v>42629</v>
      </c>
      <c r="G58" s="386">
        <f t="shared" si="1"/>
        <v>3861.7</v>
      </c>
      <c r="H58" s="387">
        <f>E58-G58</f>
        <v>0</v>
      </c>
      <c r="I58" s="28"/>
    </row>
    <row r="59" spans="2:9" x14ac:dyDescent="0.3">
      <c r="B59" s="29"/>
      <c r="C59" s="382" t="s">
        <v>309</v>
      </c>
      <c r="D59" s="383" t="s">
        <v>335</v>
      </c>
      <c r="E59" s="384">
        <v>13850</v>
      </c>
      <c r="F59" s="385">
        <v>42657</v>
      </c>
      <c r="G59" s="386">
        <f>+E59</f>
        <v>13850</v>
      </c>
      <c r="H59" s="943">
        <v>0</v>
      </c>
      <c r="I59" s="28"/>
    </row>
    <row r="60" spans="2:9" x14ac:dyDescent="0.3">
      <c r="B60" s="29"/>
      <c r="C60" s="382" t="s">
        <v>309</v>
      </c>
      <c r="D60" s="383" t="s">
        <v>335</v>
      </c>
      <c r="E60" s="384">
        <v>7671.65</v>
      </c>
      <c r="F60" s="385">
        <v>42657</v>
      </c>
      <c r="G60" s="386">
        <f>+E60</f>
        <v>7671.65</v>
      </c>
      <c r="H60" s="387"/>
      <c r="I60" s="28"/>
    </row>
    <row r="61" spans="2:9" x14ac:dyDescent="0.3">
      <c r="B61" s="29"/>
      <c r="C61" s="382" t="s">
        <v>309</v>
      </c>
      <c r="D61" s="383" t="s">
        <v>335</v>
      </c>
      <c r="E61" s="384">
        <v>65370.55</v>
      </c>
      <c r="F61" s="385">
        <v>42657</v>
      </c>
      <c r="G61" s="386">
        <f>+E61</f>
        <v>65370.55</v>
      </c>
      <c r="H61" s="387">
        <f>E61-G61</f>
        <v>0</v>
      </c>
      <c r="I61" s="28"/>
    </row>
    <row r="62" spans="2:9" x14ac:dyDescent="0.3">
      <c r="B62" s="29"/>
      <c r="C62" s="382" t="s">
        <v>309</v>
      </c>
      <c r="D62" s="383" t="s">
        <v>332</v>
      </c>
      <c r="E62" s="384">
        <v>2750.2799999999997</v>
      </c>
      <c r="F62" s="385">
        <v>42671</v>
      </c>
      <c r="G62" s="386">
        <f>+E62</f>
        <v>2750.2799999999997</v>
      </c>
      <c r="H62" s="943">
        <v>0</v>
      </c>
      <c r="I62" s="28"/>
    </row>
    <row r="63" spans="2:9" ht="26" x14ac:dyDescent="0.3">
      <c r="B63" s="29"/>
      <c r="C63" s="382" t="s">
        <v>309</v>
      </c>
      <c r="D63" s="383" t="s">
        <v>330</v>
      </c>
      <c r="E63" s="384">
        <v>15723.51</v>
      </c>
      <c r="F63" s="385">
        <v>42705</v>
      </c>
      <c r="G63" s="386">
        <f t="shared" si="1"/>
        <v>15723.51</v>
      </c>
      <c r="H63" s="943">
        <v>0</v>
      </c>
      <c r="I63" s="28"/>
    </row>
    <row r="64" spans="2:9" ht="26" x14ac:dyDescent="0.3">
      <c r="B64" s="29"/>
      <c r="C64" s="382" t="s">
        <v>309</v>
      </c>
      <c r="D64" s="383" t="s">
        <v>331</v>
      </c>
      <c r="E64" s="384">
        <v>15421.75</v>
      </c>
      <c r="F64" s="385">
        <v>42705</v>
      </c>
      <c r="G64" s="386">
        <f t="shared" si="1"/>
        <v>15421.75</v>
      </c>
      <c r="H64" s="943">
        <v>0</v>
      </c>
      <c r="I64" s="28"/>
    </row>
    <row r="65" spans="2:9" x14ac:dyDescent="0.3">
      <c r="B65" s="29"/>
      <c r="C65" s="382" t="s">
        <v>309</v>
      </c>
      <c r="D65" s="383" t="s">
        <v>335</v>
      </c>
      <c r="E65" s="384">
        <v>57600.959999999999</v>
      </c>
      <c r="F65" s="385">
        <v>42705</v>
      </c>
      <c r="G65" s="386">
        <f t="shared" si="1"/>
        <v>57600.959999999999</v>
      </c>
      <c r="H65" s="943">
        <v>0</v>
      </c>
      <c r="I65" s="28"/>
    </row>
    <row r="66" spans="2:9" x14ac:dyDescent="0.3">
      <c r="B66" s="29"/>
      <c r="C66" s="382" t="s">
        <v>309</v>
      </c>
      <c r="D66" s="383" t="s">
        <v>336</v>
      </c>
      <c r="E66" s="384">
        <v>21516.7</v>
      </c>
      <c r="F66" s="385">
        <v>42705</v>
      </c>
      <c r="G66" s="386">
        <f t="shared" si="1"/>
        <v>21516.7</v>
      </c>
      <c r="H66" s="943">
        <v>0</v>
      </c>
      <c r="I66" s="28"/>
    </row>
    <row r="67" spans="2:9" ht="14.5" x14ac:dyDescent="0.3">
      <c r="B67" s="29"/>
      <c r="C67" s="622"/>
      <c r="D67" s="629"/>
      <c r="E67" s="630"/>
      <c r="F67" s="631"/>
      <c r="G67" s="630"/>
      <c r="H67" s="621"/>
      <c r="I67" s="28"/>
    </row>
    <row r="68" spans="2:9" x14ac:dyDescent="0.3">
      <c r="B68" s="29"/>
      <c r="C68" s="381"/>
      <c r="D68" s="388"/>
      <c r="E68" s="389"/>
      <c r="F68" s="390"/>
      <c r="G68" s="391"/>
      <c r="H68" s="392"/>
      <c r="I68" s="28"/>
    </row>
    <row r="69" spans="2:9" x14ac:dyDescent="0.3">
      <c r="B69" s="29"/>
      <c r="C69" s="393"/>
      <c r="D69" s="388"/>
      <c r="E69" s="389"/>
      <c r="F69" s="390"/>
      <c r="G69" s="391"/>
      <c r="H69" s="392"/>
      <c r="I69" s="28"/>
    </row>
    <row r="70" spans="2:9" ht="14.5" thickBot="1" x14ac:dyDescent="0.35">
      <c r="B70" s="29"/>
      <c r="C70" s="381"/>
      <c r="D70" s="388"/>
      <c r="E70" s="389"/>
      <c r="F70" s="390"/>
      <c r="G70" s="389"/>
      <c r="H70" s="392"/>
      <c r="I70" s="28"/>
    </row>
    <row r="71" spans="2:9" x14ac:dyDescent="0.3">
      <c r="B71" s="29"/>
      <c r="C71" s="1063" t="s">
        <v>345</v>
      </c>
      <c r="D71" s="1063"/>
      <c r="E71" s="1063"/>
      <c r="F71" s="1063"/>
      <c r="G71" s="1063"/>
      <c r="H71" s="1063"/>
      <c r="I71" s="28"/>
    </row>
    <row r="72" spans="2:9" x14ac:dyDescent="0.3">
      <c r="B72" s="29"/>
      <c r="C72" s="1064" t="s">
        <v>346</v>
      </c>
      <c r="D72" s="1064"/>
      <c r="E72" s="1064"/>
      <c r="F72" s="1064"/>
      <c r="G72" s="1064"/>
      <c r="H72" s="1064"/>
      <c r="I72" s="28"/>
    </row>
    <row r="73" spans="2:9" x14ac:dyDescent="0.3">
      <c r="B73" s="29"/>
      <c r="C73" s="1064" t="s">
        <v>347</v>
      </c>
      <c r="D73" s="1064"/>
      <c r="E73" s="1064"/>
      <c r="F73" s="1064"/>
      <c r="G73" s="1064"/>
      <c r="H73" s="1064"/>
      <c r="I73" s="28"/>
    </row>
    <row r="74" spans="2:9" x14ac:dyDescent="0.3">
      <c r="B74" s="29"/>
      <c r="C74" s="147"/>
      <c r="D74" s="147" t="s">
        <v>348</v>
      </c>
      <c r="E74" s="147"/>
      <c r="F74" s="147"/>
      <c r="G74" s="147"/>
      <c r="H74" s="147"/>
      <c r="I74" s="28"/>
    </row>
    <row r="75" spans="2:9" x14ac:dyDescent="0.3">
      <c r="B75" s="29"/>
      <c r="C75" s="1051" t="s">
        <v>349</v>
      </c>
      <c r="D75" s="1051"/>
      <c r="E75" s="31"/>
      <c r="F75" s="31"/>
      <c r="G75" s="31"/>
      <c r="H75" s="31"/>
      <c r="I75" s="28"/>
    </row>
    <row r="76" spans="2:9" ht="14.5" thickBot="1" x14ac:dyDescent="0.35">
      <c r="B76" s="29"/>
      <c r="C76" s="1019" t="s">
        <v>350</v>
      </c>
      <c r="D76" s="1019"/>
      <c r="E76" s="1019"/>
      <c r="F76" s="363"/>
      <c r="G76" s="363"/>
      <c r="H76" s="363"/>
      <c r="I76" s="28"/>
    </row>
    <row r="77" spans="2:9" ht="29.5" thickBot="1" x14ac:dyDescent="0.35">
      <c r="B77" s="29"/>
      <c r="C77" s="530" t="s">
        <v>351</v>
      </c>
      <c r="D77" s="531" t="s">
        <v>352</v>
      </c>
      <c r="E77" s="531" t="s">
        <v>353</v>
      </c>
      <c r="F77" s="531" t="s">
        <v>354</v>
      </c>
      <c r="G77" s="532" t="s">
        <v>355</v>
      </c>
      <c r="H77" s="133"/>
      <c r="I77" s="87"/>
    </row>
    <row r="78" spans="2:9" ht="211.5" customHeight="1" thickBot="1" x14ac:dyDescent="0.35">
      <c r="B78" s="29"/>
      <c r="C78" s="533" t="s">
        <v>1038</v>
      </c>
      <c r="D78" s="534" t="s">
        <v>356</v>
      </c>
      <c r="E78" s="535" t="s">
        <v>357</v>
      </c>
      <c r="F78" s="536">
        <v>19200</v>
      </c>
      <c r="G78" s="537" t="s">
        <v>358</v>
      </c>
      <c r="H78" s="133"/>
      <c r="I78" s="87"/>
    </row>
    <row r="79" spans="2:9" ht="189" thickBot="1" x14ac:dyDescent="0.35">
      <c r="B79" s="29"/>
      <c r="C79" s="538" t="s">
        <v>1039</v>
      </c>
      <c r="D79" s="539" t="s">
        <v>310</v>
      </c>
      <c r="E79" s="540">
        <v>51497.73</v>
      </c>
      <c r="F79" s="541">
        <v>51497.73</v>
      </c>
      <c r="G79" s="542" t="s">
        <v>359</v>
      </c>
      <c r="H79" s="31"/>
      <c r="I79" s="238"/>
    </row>
    <row r="80" spans="2:9" ht="14.5" x14ac:dyDescent="0.3">
      <c r="B80" s="29"/>
      <c r="C80" s="1020" t="s">
        <v>360</v>
      </c>
      <c r="D80" s="543" t="s">
        <v>312</v>
      </c>
      <c r="E80" s="544">
        <v>96440</v>
      </c>
      <c r="F80" s="1022">
        <v>96440</v>
      </c>
      <c r="G80" s="1024" t="s">
        <v>1040</v>
      </c>
      <c r="H80" s="31"/>
      <c r="I80" s="238"/>
    </row>
    <row r="81" spans="2:10" ht="58.5" thickBot="1" x14ac:dyDescent="0.35">
      <c r="B81" s="29"/>
      <c r="C81" s="1021"/>
      <c r="D81" s="545" t="s">
        <v>361</v>
      </c>
      <c r="E81" s="546">
        <v>98300</v>
      </c>
      <c r="F81" s="1023"/>
      <c r="G81" s="1025"/>
      <c r="H81" s="31"/>
      <c r="I81" s="238"/>
    </row>
    <row r="82" spans="2:10" ht="43.5" x14ac:dyDescent="0.3">
      <c r="B82" s="29"/>
      <c r="C82" s="1020" t="s">
        <v>362</v>
      </c>
      <c r="D82" s="543" t="s">
        <v>363</v>
      </c>
      <c r="E82" s="544">
        <v>13820</v>
      </c>
      <c r="F82" s="1053">
        <v>13820</v>
      </c>
      <c r="G82" s="1024" t="s">
        <v>1618</v>
      </c>
      <c r="H82" s="31"/>
      <c r="I82" s="238"/>
      <c r="J82" s="1017"/>
    </row>
    <row r="83" spans="2:10" ht="29" x14ac:dyDescent="0.3">
      <c r="B83" s="29"/>
      <c r="C83" s="1052"/>
      <c r="D83" s="547" t="s">
        <v>364</v>
      </c>
      <c r="E83" s="548">
        <v>15399</v>
      </c>
      <c r="F83" s="1054"/>
      <c r="G83" s="1056"/>
      <c r="H83" s="31"/>
      <c r="I83" s="238"/>
      <c r="J83" s="1017"/>
    </row>
    <row r="84" spans="2:10" ht="29" x14ac:dyDescent="0.3">
      <c r="B84" s="29"/>
      <c r="C84" s="1052"/>
      <c r="D84" s="547" t="s">
        <v>365</v>
      </c>
      <c r="E84" s="548">
        <v>14949</v>
      </c>
      <c r="F84" s="1054"/>
      <c r="G84" s="1056"/>
      <c r="H84" s="31"/>
      <c r="I84" s="238"/>
      <c r="J84" s="1017"/>
    </row>
    <row r="85" spans="2:10" ht="29" x14ac:dyDescent="0.3">
      <c r="B85" s="29"/>
      <c r="C85" s="1052"/>
      <c r="D85" s="547" t="s">
        <v>366</v>
      </c>
      <c r="E85" s="548">
        <v>17000</v>
      </c>
      <c r="F85" s="1054"/>
      <c r="G85" s="1056"/>
      <c r="H85" s="31"/>
      <c r="I85" s="238"/>
      <c r="J85" s="1017"/>
    </row>
    <row r="86" spans="2:10" ht="29" x14ac:dyDescent="0.3">
      <c r="B86" s="29"/>
      <c r="C86" s="1052"/>
      <c r="D86" s="547" t="s">
        <v>367</v>
      </c>
      <c r="E86" s="548" t="s">
        <v>368</v>
      </c>
      <c r="F86" s="1054"/>
      <c r="G86" s="1056"/>
      <c r="H86" s="31"/>
      <c r="I86" s="238"/>
    </row>
    <row r="87" spans="2:10" ht="137.25" customHeight="1" thickBot="1" x14ac:dyDescent="0.35">
      <c r="B87" s="29"/>
      <c r="C87" s="1021"/>
      <c r="D87" s="545" t="s">
        <v>369</v>
      </c>
      <c r="E87" s="549" t="s">
        <v>368</v>
      </c>
      <c r="F87" s="1055"/>
      <c r="G87" s="1025"/>
      <c r="H87" s="31"/>
      <c r="I87" s="238"/>
    </row>
    <row r="88" spans="2:10" ht="232.5" thickBot="1" x14ac:dyDescent="0.35">
      <c r="B88" s="29"/>
      <c r="C88" s="550" t="s">
        <v>370</v>
      </c>
      <c r="D88" s="551" t="s">
        <v>371</v>
      </c>
      <c r="E88" s="552">
        <v>47340</v>
      </c>
      <c r="F88" s="553">
        <v>42606.55</v>
      </c>
      <c r="G88" s="554" t="s">
        <v>1041</v>
      </c>
      <c r="H88" s="31"/>
      <c r="I88" s="238"/>
    </row>
    <row r="89" spans="2:10" ht="29" x14ac:dyDescent="0.3">
      <c r="B89" s="29"/>
      <c r="C89" s="1026" t="s">
        <v>1042</v>
      </c>
      <c r="D89" s="543" t="s">
        <v>371</v>
      </c>
      <c r="E89" s="555">
        <v>51000</v>
      </c>
      <c r="F89" s="1057">
        <v>51000</v>
      </c>
      <c r="G89" s="1060" t="s">
        <v>372</v>
      </c>
      <c r="H89" s="31"/>
      <c r="I89" s="238"/>
    </row>
    <row r="90" spans="2:10" ht="29" x14ac:dyDescent="0.3">
      <c r="B90" s="29"/>
      <c r="C90" s="1027"/>
      <c r="D90" s="547" t="s">
        <v>373</v>
      </c>
      <c r="E90" s="556" t="s">
        <v>368</v>
      </c>
      <c r="F90" s="1058"/>
      <c r="G90" s="1061"/>
      <c r="H90" s="31"/>
      <c r="I90" s="238"/>
    </row>
    <row r="91" spans="2:10" ht="29.5" thickBot="1" x14ac:dyDescent="0.35">
      <c r="B91" s="29"/>
      <c r="C91" s="1028"/>
      <c r="D91" s="545" t="s">
        <v>365</v>
      </c>
      <c r="E91" s="557" t="s">
        <v>368</v>
      </c>
      <c r="F91" s="1059"/>
      <c r="G91" s="1062"/>
      <c r="H91" s="31"/>
      <c r="I91" s="238"/>
    </row>
    <row r="92" spans="2:10" ht="15" thickBot="1" x14ac:dyDescent="0.35">
      <c r="B92" s="29"/>
      <c r="C92" s="1031" t="s">
        <v>1043</v>
      </c>
      <c r="D92" s="558" t="s">
        <v>374</v>
      </c>
      <c r="E92" s="559">
        <v>2650</v>
      </c>
      <c r="F92" s="1034">
        <v>2650</v>
      </c>
      <c r="G92" s="1037" t="s">
        <v>375</v>
      </c>
      <c r="H92" s="31"/>
      <c r="I92" s="238"/>
    </row>
    <row r="93" spans="2:10" ht="29" x14ac:dyDescent="0.3">
      <c r="B93" s="29"/>
      <c r="C93" s="1032"/>
      <c r="D93" s="560" t="s">
        <v>376</v>
      </c>
      <c r="E93" s="561">
        <v>3150</v>
      </c>
      <c r="F93" s="1035"/>
      <c r="G93" s="1038"/>
      <c r="H93" s="31"/>
      <c r="I93" s="238"/>
    </row>
    <row r="94" spans="2:10" ht="15" thickBot="1" x14ac:dyDescent="0.35">
      <c r="B94" s="29"/>
      <c r="C94" s="1033"/>
      <c r="D94" s="562" t="s">
        <v>377</v>
      </c>
      <c r="E94" s="563">
        <v>3000</v>
      </c>
      <c r="F94" s="1036"/>
      <c r="G94" s="1039"/>
      <c r="H94" s="31"/>
      <c r="I94" s="238"/>
    </row>
    <row r="95" spans="2:10" ht="14.5" x14ac:dyDescent="0.3">
      <c r="B95" s="29"/>
      <c r="C95" s="1026" t="s">
        <v>378</v>
      </c>
      <c r="D95" s="564" t="s">
        <v>379</v>
      </c>
      <c r="E95" s="559">
        <v>3000</v>
      </c>
      <c r="F95" s="1040">
        <v>2820</v>
      </c>
      <c r="G95" s="1043" t="s">
        <v>380</v>
      </c>
      <c r="H95" s="31"/>
      <c r="I95" s="238"/>
    </row>
    <row r="96" spans="2:10" ht="14.5" x14ac:dyDescent="0.3">
      <c r="B96" s="29"/>
      <c r="C96" s="1027"/>
      <c r="D96" s="565" t="s">
        <v>381</v>
      </c>
      <c r="E96" s="561">
        <v>3400</v>
      </c>
      <c r="F96" s="1041"/>
      <c r="G96" s="1043"/>
      <c r="H96" s="31"/>
      <c r="I96" s="238"/>
    </row>
    <row r="97" spans="2:9" ht="15" thickBot="1" x14ac:dyDescent="0.35">
      <c r="B97" s="29"/>
      <c r="C97" s="1028"/>
      <c r="D97" s="566" t="s">
        <v>382</v>
      </c>
      <c r="E97" s="563">
        <v>2820</v>
      </c>
      <c r="F97" s="1042"/>
      <c r="G97" s="1044"/>
      <c r="H97" s="31"/>
      <c r="I97" s="238"/>
    </row>
    <row r="98" spans="2:9" ht="29" x14ac:dyDescent="0.3">
      <c r="B98" s="29"/>
      <c r="C98" s="1026" t="s">
        <v>1064</v>
      </c>
      <c r="D98" s="567" t="s">
        <v>376</v>
      </c>
      <c r="E98" s="568">
        <v>7250</v>
      </c>
      <c r="F98" s="1029">
        <v>7250</v>
      </c>
      <c r="G98" s="1045" t="s">
        <v>1055</v>
      </c>
      <c r="H98" s="31"/>
      <c r="I98" s="238"/>
    </row>
    <row r="99" spans="2:9" ht="14.5" x14ac:dyDescent="0.3">
      <c r="B99" s="29"/>
      <c r="C99" s="1027"/>
      <c r="D99" s="569" t="s">
        <v>383</v>
      </c>
      <c r="E99" s="570">
        <v>12600</v>
      </c>
      <c r="F99" s="1030"/>
      <c r="G99" s="1043"/>
      <c r="H99" s="31"/>
      <c r="I99" s="238"/>
    </row>
    <row r="100" spans="2:9" ht="29.5" thickBot="1" x14ac:dyDescent="0.35">
      <c r="B100" s="29"/>
      <c r="C100" s="1028"/>
      <c r="D100" s="571" t="s">
        <v>384</v>
      </c>
      <c r="E100" s="572">
        <v>23010</v>
      </c>
      <c r="F100" s="1030"/>
      <c r="G100" s="1044"/>
      <c r="H100" s="31"/>
      <c r="I100" s="238"/>
    </row>
    <row r="101" spans="2:9" ht="87.5" thickBot="1" x14ac:dyDescent="0.35">
      <c r="B101" s="29"/>
      <c r="C101" s="573" t="s">
        <v>1044</v>
      </c>
      <c r="D101" s="574" t="s">
        <v>385</v>
      </c>
      <c r="E101" s="575">
        <v>10918.2</v>
      </c>
      <c r="F101" s="576">
        <v>10918.2</v>
      </c>
      <c r="G101" s="577" t="s">
        <v>1056</v>
      </c>
      <c r="H101" s="31"/>
      <c r="I101" s="238"/>
    </row>
    <row r="102" spans="2:9" ht="14.5" x14ac:dyDescent="0.3">
      <c r="B102" s="29"/>
      <c r="C102" s="1065" t="s">
        <v>1045</v>
      </c>
      <c r="D102" s="578" t="s">
        <v>386</v>
      </c>
      <c r="E102" s="579">
        <v>2768.5</v>
      </c>
      <c r="F102" s="1067">
        <v>2768.5</v>
      </c>
      <c r="G102" s="1020" t="s">
        <v>1065</v>
      </c>
      <c r="H102" s="31"/>
      <c r="I102" s="238"/>
    </row>
    <row r="103" spans="2:9" ht="14.5" x14ac:dyDescent="0.3">
      <c r="B103" s="29"/>
      <c r="C103" s="1077"/>
      <c r="D103" s="580" t="s">
        <v>387</v>
      </c>
      <c r="E103" s="581">
        <v>3522</v>
      </c>
      <c r="F103" s="1078"/>
      <c r="G103" s="1052"/>
      <c r="H103" s="31"/>
      <c r="I103" s="238"/>
    </row>
    <row r="104" spans="2:9" ht="15" thickBot="1" x14ac:dyDescent="0.35">
      <c r="B104" s="29"/>
      <c r="C104" s="1066"/>
      <c r="D104" s="582" t="s">
        <v>388</v>
      </c>
      <c r="E104" s="583">
        <v>3290.36</v>
      </c>
      <c r="F104" s="1068"/>
      <c r="G104" s="1021"/>
      <c r="H104" s="31"/>
      <c r="I104" s="238"/>
    </row>
    <row r="105" spans="2:9" ht="29" x14ac:dyDescent="0.3">
      <c r="B105" s="29"/>
      <c r="C105" s="1065" t="s">
        <v>389</v>
      </c>
      <c r="D105" s="560" t="s">
        <v>390</v>
      </c>
      <c r="E105" s="584">
        <v>37000</v>
      </c>
      <c r="F105" s="1067">
        <v>37000</v>
      </c>
      <c r="G105" s="1069" t="s">
        <v>1054</v>
      </c>
      <c r="H105" s="31"/>
      <c r="I105" s="238"/>
    </row>
    <row r="106" spans="2:9" ht="15" thickBot="1" x14ac:dyDescent="0.35">
      <c r="B106" s="29"/>
      <c r="C106" s="1066"/>
      <c r="D106" s="585" t="s">
        <v>391</v>
      </c>
      <c r="E106" s="586">
        <v>37480</v>
      </c>
      <c r="F106" s="1068"/>
      <c r="G106" s="1069"/>
      <c r="H106" s="31"/>
      <c r="I106" s="238"/>
    </row>
    <row r="107" spans="2:9" ht="14.5" x14ac:dyDescent="0.35">
      <c r="B107" s="29"/>
      <c r="C107" s="1070" t="s">
        <v>392</v>
      </c>
      <c r="D107" s="558" t="s">
        <v>393</v>
      </c>
      <c r="E107" s="587">
        <v>38300</v>
      </c>
      <c r="F107" s="1073">
        <v>38300</v>
      </c>
      <c r="G107" s="1076" t="s">
        <v>1054</v>
      </c>
      <c r="H107" s="31"/>
      <c r="I107" s="238"/>
    </row>
    <row r="108" spans="2:9" ht="69.75" customHeight="1" x14ac:dyDescent="0.35">
      <c r="B108" s="29"/>
      <c r="C108" s="1071"/>
      <c r="D108" s="588" t="s">
        <v>394</v>
      </c>
      <c r="E108" s="589">
        <v>39478.1</v>
      </c>
      <c r="F108" s="1074"/>
      <c r="G108" s="1069"/>
      <c r="H108" s="31"/>
      <c r="I108" s="238"/>
    </row>
    <row r="109" spans="2:9" ht="75" customHeight="1" x14ac:dyDescent="0.35">
      <c r="B109" s="29"/>
      <c r="C109" s="1071"/>
      <c r="D109" s="588" t="s">
        <v>395</v>
      </c>
      <c r="E109" s="590">
        <v>41000</v>
      </c>
      <c r="F109" s="1074"/>
      <c r="G109" s="1069"/>
      <c r="H109" s="31"/>
      <c r="I109" s="238"/>
    </row>
    <row r="110" spans="2:9" ht="75.75" customHeight="1" x14ac:dyDescent="0.35">
      <c r="B110" s="29"/>
      <c r="C110" s="1071"/>
      <c r="D110" s="588" t="s">
        <v>396</v>
      </c>
      <c r="E110" s="589">
        <v>47000</v>
      </c>
      <c r="F110" s="1074"/>
      <c r="G110" s="1069"/>
      <c r="H110" s="31"/>
      <c r="I110" s="238"/>
    </row>
    <row r="111" spans="2:9" ht="56.25" customHeight="1" thickBot="1" x14ac:dyDescent="0.4">
      <c r="B111" s="29"/>
      <c r="C111" s="1072"/>
      <c r="D111" s="591" t="s">
        <v>397</v>
      </c>
      <c r="E111" s="592">
        <v>52216</v>
      </c>
      <c r="F111" s="1075"/>
      <c r="G111" s="1069"/>
      <c r="H111" s="31"/>
      <c r="I111" s="238"/>
    </row>
    <row r="112" spans="2:9" ht="56.25" customHeight="1" x14ac:dyDescent="0.3">
      <c r="B112" s="29"/>
      <c r="C112" s="1097" t="s">
        <v>1534</v>
      </c>
      <c r="D112" s="1100" t="s">
        <v>398</v>
      </c>
      <c r="E112" s="1103">
        <v>4400</v>
      </c>
      <c r="F112" s="1040">
        <v>4400</v>
      </c>
      <c r="G112" s="1097" t="s">
        <v>1053</v>
      </c>
      <c r="H112" s="31"/>
      <c r="I112" s="238"/>
    </row>
    <row r="113" spans="2:12" ht="56.25" customHeight="1" x14ac:dyDescent="0.3">
      <c r="B113" s="29"/>
      <c r="C113" s="1098"/>
      <c r="D113" s="1101"/>
      <c r="E113" s="1104"/>
      <c r="F113" s="1041"/>
      <c r="G113" s="1098"/>
      <c r="H113" s="31"/>
      <c r="I113" s="238"/>
    </row>
    <row r="114" spans="2:12" ht="24" customHeight="1" thickBot="1" x14ac:dyDescent="0.35">
      <c r="B114" s="29"/>
      <c r="C114" s="1099"/>
      <c r="D114" s="1102"/>
      <c r="E114" s="1105"/>
      <c r="F114" s="1042"/>
      <c r="G114" s="1099"/>
      <c r="H114" s="31"/>
      <c r="I114" s="238"/>
    </row>
    <row r="115" spans="2:12" ht="116.5" thickBot="1" x14ac:dyDescent="0.4">
      <c r="B115" s="29"/>
      <c r="C115" s="593" t="s">
        <v>399</v>
      </c>
      <c r="D115" s="594" t="s">
        <v>400</v>
      </c>
      <c r="E115" s="595">
        <v>11784.5</v>
      </c>
      <c r="F115" s="595">
        <v>11191.74</v>
      </c>
      <c r="G115" s="596" t="s">
        <v>401</v>
      </c>
      <c r="H115" s="31"/>
      <c r="I115" s="238"/>
    </row>
    <row r="116" spans="2:12" ht="87.5" thickBot="1" x14ac:dyDescent="0.4">
      <c r="B116" s="29"/>
      <c r="C116" s="593" t="s">
        <v>402</v>
      </c>
      <c r="D116" s="594" t="s">
        <v>403</v>
      </c>
      <c r="E116" s="595">
        <v>16549.09</v>
      </c>
      <c r="F116" s="595">
        <v>16549.09</v>
      </c>
      <c r="G116" s="596" t="s">
        <v>404</v>
      </c>
      <c r="H116" s="31"/>
      <c r="I116" s="238"/>
    </row>
    <row r="117" spans="2:12" ht="44.25" customHeight="1" x14ac:dyDescent="0.3">
      <c r="B117" s="29"/>
      <c r="C117" s="1097" t="s">
        <v>405</v>
      </c>
      <c r="D117" s="597" t="s">
        <v>406</v>
      </c>
      <c r="E117" s="598">
        <v>2557.1</v>
      </c>
      <c r="F117" s="1040">
        <v>2557.1</v>
      </c>
      <c r="G117" s="1106" t="s">
        <v>407</v>
      </c>
      <c r="H117" s="31"/>
      <c r="I117" s="238"/>
    </row>
    <row r="118" spans="2:12" ht="43.5" customHeight="1" x14ac:dyDescent="0.3">
      <c r="B118" s="29"/>
      <c r="C118" s="1098"/>
      <c r="D118" s="599" t="s">
        <v>408</v>
      </c>
      <c r="E118" s="600">
        <v>2863.72</v>
      </c>
      <c r="F118" s="1041"/>
      <c r="G118" s="1107"/>
      <c r="H118" s="31"/>
      <c r="I118" s="238"/>
    </row>
    <row r="119" spans="2:12" ht="37.5" customHeight="1" thickBot="1" x14ac:dyDescent="0.4">
      <c r="B119" s="29"/>
      <c r="C119" s="1098"/>
      <c r="D119" s="601" t="s">
        <v>409</v>
      </c>
      <c r="E119" s="602">
        <v>3638.99</v>
      </c>
      <c r="F119" s="1041"/>
      <c r="G119" s="1107"/>
      <c r="H119" s="31"/>
      <c r="I119" s="238"/>
    </row>
    <row r="120" spans="2:12" ht="75.75" customHeight="1" x14ac:dyDescent="0.3">
      <c r="B120" s="29"/>
      <c r="C120" s="1079" t="s">
        <v>1535</v>
      </c>
      <c r="D120" s="603" t="s">
        <v>410</v>
      </c>
      <c r="E120" s="604">
        <v>3000</v>
      </c>
      <c r="F120" s="1082">
        <v>3000</v>
      </c>
      <c r="G120" s="1085" t="s">
        <v>411</v>
      </c>
      <c r="H120" s="31"/>
      <c r="I120" s="238"/>
    </row>
    <row r="121" spans="2:12" ht="75.75" customHeight="1" x14ac:dyDescent="0.3">
      <c r="B121" s="29"/>
      <c r="C121" s="1080"/>
      <c r="D121" s="605" t="s">
        <v>412</v>
      </c>
      <c r="E121" s="606">
        <v>6000</v>
      </c>
      <c r="F121" s="1083"/>
      <c r="G121" s="1086"/>
      <c r="H121" s="31"/>
      <c r="I121" s="238"/>
    </row>
    <row r="122" spans="2:12" ht="48" customHeight="1" thickBot="1" x14ac:dyDescent="0.35">
      <c r="B122" s="29"/>
      <c r="C122" s="1081"/>
      <c r="D122" s="607" t="s">
        <v>413</v>
      </c>
      <c r="E122" s="608">
        <v>5000</v>
      </c>
      <c r="F122" s="1084"/>
      <c r="G122" s="1087"/>
      <c r="H122" s="31"/>
      <c r="I122" s="238"/>
    </row>
    <row r="123" spans="2:12" ht="115.5" customHeight="1" thickBot="1" x14ac:dyDescent="0.35">
      <c r="B123" s="29"/>
      <c r="C123" s="609" t="s">
        <v>414</v>
      </c>
      <c r="D123" s="610" t="s">
        <v>415</v>
      </c>
      <c r="E123" s="611">
        <v>335389.59999999998</v>
      </c>
      <c r="F123" s="611">
        <v>335389.59999999998</v>
      </c>
      <c r="G123" s="612" t="s">
        <v>416</v>
      </c>
      <c r="H123" s="31"/>
      <c r="I123" s="238"/>
      <c r="L123" s="247"/>
    </row>
    <row r="124" spans="2:12" x14ac:dyDescent="0.3">
      <c r="B124" s="29"/>
      <c r="C124" s="1088" t="s">
        <v>417</v>
      </c>
      <c r="D124" s="248" t="s">
        <v>418</v>
      </c>
      <c r="E124" s="489">
        <v>57770.78</v>
      </c>
      <c r="F124" s="1091">
        <f>+E125</f>
        <v>51837.54</v>
      </c>
      <c r="G124" s="1094" t="s">
        <v>1048</v>
      </c>
      <c r="H124" s="31"/>
      <c r="I124" s="238"/>
    </row>
    <row r="125" spans="2:12" ht="26" x14ac:dyDescent="0.3">
      <c r="B125" s="29"/>
      <c r="C125" s="1089"/>
      <c r="D125" s="394" t="s">
        <v>420</v>
      </c>
      <c r="E125" s="490">
        <v>51837.54</v>
      </c>
      <c r="F125" s="1092"/>
      <c r="G125" s="1095"/>
      <c r="H125" s="31"/>
      <c r="I125" s="238"/>
    </row>
    <row r="126" spans="2:12" ht="14.5" thickBot="1" x14ac:dyDescent="0.35">
      <c r="B126" s="29"/>
      <c r="C126" s="1090"/>
      <c r="D126" s="395" t="s">
        <v>421</v>
      </c>
      <c r="E126" s="491">
        <v>60077.79</v>
      </c>
      <c r="F126" s="1093"/>
      <c r="G126" s="1096"/>
      <c r="H126" s="31"/>
      <c r="I126" s="238"/>
    </row>
    <row r="127" spans="2:12" x14ac:dyDescent="0.3">
      <c r="B127" s="29"/>
      <c r="C127" s="1088" t="s">
        <v>417</v>
      </c>
      <c r="D127" s="248" t="s">
        <v>422</v>
      </c>
      <c r="E127" s="489">
        <f>22875.63+10421.24+21527.63+8399.23+7998.85+41931.93</f>
        <v>113154.51000000001</v>
      </c>
      <c r="F127" s="954">
        <f>+G34</f>
        <v>78285.94</v>
      </c>
      <c r="G127" s="1094" t="s">
        <v>423</v>
      </c>
      <c r="H127" s="31"/>
      <c r="I127" s="238"/>
      <c r="J127" s="1017"/>
      <c r="K127" s="1018"/>
    </row>
    <row r="128" spans="2:12" x14ac:dyDescent="0.3">
      <c r="B128" s="29"/>
      <c r="C128" s="1089"/>
      <c r="D128" s="396" t="s">
        <v>424</v>
      </c>
      <c r="E128" s="490">
        <f>10860.7+10796.49+24209.14+9027.78+9243.84+10606.09</f>
        <v>74744.039999999994</v>
      </c>
      <c r="F128" s="1108"/>
      <c r="G128" s="1095"/>
      <c r="H128" s="31"/>
      <c r="I128" s="238"/>
      <c r="J128" s="1017"/>
      <c r="K128" s="1018"/>
    </row>
    <row r="129" spans="2:11" x14ac:dyDescent="0.3">
      <c r="B129" s="29"/>
      <c r="C129" s="1089"/>
      <c r="D129" s="396" t="s">
        <v>425</v>
      </c>
      <c r="E129" s="490">
        <f>10160+9938.2+7575.25+21187.5+9700+17847</f>
        <v>76407.95</v>
      </c>
      <c r="F129" s="1109"/>
      <c r="G129" s="1095"/>
      <c r="H129" s="31"/>
      <c r="I129" s="238"/>
      <c r="J129" s="1017"/>
      <c r="K129" s="1018"/>
    </row>
    <row r="130" spans="2:11" ht="14.5" thickBot="1" x14ac:dyDescent="0.35">
      <c r="B130" s="29"/>
      <c r="C130" s="1090"/>
      <c r="D130" s="397" t="s">
        <v>426</v>
      </c>
      <c r="E130" s="491">
        <f>33720+8745+6632.5+20950+9200+35691.2</f>
        <v>114938.7</v>
      </c>
      <c r="F130" s="955">
        <f>+G31</f>
        <v>69411.199999999997</v>
      </c>
      <c r="G130" s="1096"/>
      <c r="H130" s="31"/>
      <c r="I130" s="238"/>
    </row>
    <row r="131" spans="2:11" ht="26.5" thickBot="1" x14ac:dyDescent="0.35">
      <c r="B131" s="29"/>
      <c r="C131" s="249" t="s">
        <v>417</v>
      </c>
      <c r="D131" s="250" t="s">
        <v>427</v>
      </c>
      <c r="E131" s="492">
        <f>+G33</f>
        <v>118636.4</v>
      </c>
      <c r="F131" s="492">
        <f>+E131</f>
        <v>118636.4</v>
      </c>
      <c r="G131" s="529" t="s">
        <v>428</v>
      </c>
      <c r="H131" s="31"/>
      <c r="I131" s="238"/>
    </row>
    <row r="132" spans="2:11" x14ac:dyDescent="0.3">
      <c r="B132" s="29"/>
      <c r="C132" s="1088" t="s">
        <v>417</v>
      </c>
      <c r="D132" s="251" t="s">
        <v>429</v>
      </c>
      <c r="E132" s="493">
        <v>22034.73</v>
      </c>
      <c r="F132" s="489">
        <f>+E132</f>
        <v>22034.73</v>
      </c>
      <c r="G132" s="1094" t="s">
        <v>1052</v>
      </c>
      <c r="H132" s="31"/>
      <c r="I132" s="238"/>
    </row>
    <row r="133" spans="2:11" x14ac:dyDescent="0.3">
      <c r="B133" s="29"/>
      <c r="C133" s="1089"/>
      <c r="D133" s="396" t="s">
        <v>430</v>
      </c>
      <c r="E133" s="490">
        <f>16702.88+5818.1</f>
        <v>22520.980000000003</v>
      </c>
      <c r="F133" s="1108"/>
      <c r="G133" s="1095"/>
      <c r="H133" s="31"/>
      <c r="I133" s="238"/>
    </row>
    <row r="134" spans="2:11" x14ac:dyDescent="0.3">
      <c r="B134" s="29"/>
      <c r="C134" s="1089"/>
      <c r="D134" s="396" t="s">
        <v>431</v>
      </c>
      <c r="E134" s="490">
        <f>17332.26+5209.7</f>
        <v>22541.96</v>
      </c>
      <c r="F134" s="1092"/>
      <c r="G134" s="1095"/>
      <c r="H134" s="31"/>
      <c r="I134" s="238"/>
    </row>
    <row r="135" spans="2:11" ht="26.5" thickBot="1" x14ac:dyDescent="0.35">
      <c r="B135" s="29"/>
      <c r="C135" s="1090"/>
      <c r="D135" s="398" t="s">
        <v>432</v>
      </c>
      <c r="E135" s="491">
        <f>15090.55+3754.9</f>
        <v>18845.45</v>
      </c>
      <c r="F135" s="1093"/>
      <c r="G135" s="1096"/>
      <c r="H135" s="31"/>
      <c r="I135" s="238"/>
    </row>
    <row r="136" spans="2:11" x14ac:dyDescent="0.3">
      <c r="B136" s="29"/>
      <c r="C136" s="1088" t="s">
        <v>417</v>
      </c>
      <c r="D136" s="248" t="s">
        <v>433</v>
      </c>
      <c r="E136" s="489">
        <f>5715+9429+5400+3650</f>
        <v>24194</v>
      </c>
      <c r="F136" s="489">
        <f>+E136</f>
        <v>24194</v>
      </c>
      <c r="G136" s="1094" t="s">
        <v>1048</v>
      </c>
      <c r="H136" s="31"/>
      <c r="I136" s="238"/>
    </row>
    <row r="137" spans="2:11" ht="14.5" thickBot="1" x14ac:dyDescent="0.35">
      <c r="B137" s="29"/>
      <c r="C137" s="1090"/>
      <c r="D137" s="399" t="s">
        <v>427</v>
      </c>
      <c r="E137" s="491">
        <f>5842+12954+5450+5325</f>
        <v>29571</v>
      </c>
      <c r="F137" s="491"/>
      <c r="G137" s="1096"/>
      <c r="H137" s="31"/>
      <c r="I137" s="238"/>
    </row>
    <row r="138" spans="2:11" x14ac:dyDescent="0.3">
      <c r="B138" s="29"/>
      <c r="C138" s="1088" t="s">
        <v>417</v>
      </c>
      <c r="D138" s="248" t="s">
        <v>434</v>
      </c>
      <c r="E138" s="489">
        <v>60370.04</v>
      </c>
      <c r="F138" s="489">
        <f>+E138</f>
        <v>60370.04</v>
      </c>
      <c r="G138" s="1094" t="s">
        <v>1048</v>
      </c>
      <c r="H138" s="31"/>
      <c r="I138" s="238"/>
    </row>
    <row r="139" spans="2:11" x14ac:dyDescent="0.3">
      <c r="B139" s="29"/>
      <c r="C139" s="1089"/>
      <c r="D139" s="396" t="s">
        <v>433</v>
      </c>
      <c r="E139" s="490">
        <f>37107.46+6960+7200+52754.91</f>
        <v>104022.37</v>
      </c>
      <c r="F139" s="494"/>
      <c r="G139" s="1095"/>
      <c r="H139" s="31"/>
      <c r="I139" s="238"/>
    </row>
    <row r="140" spans="2:11" x14ac:dyDescent="0.3">
      <c r="B140" s="29"/>
      <c r="C140" s="1089"/>
      <c r="D140" s="400" t="s">
        <v>429</v>
      </c>
      <c r="E140" s="490">
        <f>17539.06+7710.08+6686.4+43177.34</f>
        <v>75112.88</v>
      </c>
      <c r="F140" s="495"/>
      <c r="G140" s="1095"/>
      <c r="H140" s="31"/>
      <c r="I140" s="238"/>
    </row>
    <row r="141" spans="2:11" ht="14.5" thickBot="1" x14ac:dyDescent="0.35">
      <c r="B141" s="29"/>
      <c r="C141" s="1090"/>
      <c r="D141" s="395" t="s">
        <v>435</v>
      </c>
      <c r="E141" s="491">
        <f>12500.46+8647.52+7203.5+35898.89</f>
        <v>64250.369999999995</v>
      </c>
      <c r="F141" s="496"/>
      <c r="G141" s="1096"/>
      <c r="H141" s="31"/>
      <c r="I141" s="238"/>
    </row>
    <row r="142" spans="2:11" x14ac:dyDescent="0.3">
      <c r="B142" s="29"/>
      <c r="C142" s="1113" t="s">
        <v>417</v>
      </c>
      <c r="D142" s="252" t="s">
        <v>427</v>
      </c>
      <c r="E142" s="497">
        <f>5842+12954+5450+5325</f>
        <v>29571</v>
      </c>
      <c r="F142" s="1116">
        <f>+E144</f>
        <v>59695.28</v>
      </c>
      <c r="G142" s="1094" t="s">
        <v>1051</v>
      </c>
      <c r="H142" s="31"/>
      <c r="I142" s="238"/>
    </row>
    <row r="143" spans="2:11" x14ac:dyDescent="0.3">
      <c r="B143" s="29"/>
      <c r="C143" s="1114"/>
      <c r="D143" s="401" t="s">
        <v>422</v>
      </c>
      <c r="E143" s="498">
        <f>20358.87+1246.48+3099.36+8259.38</f>
        <v>32964.089999999997</v>
      </c>
      <c r="F143" s="1117"/>
      <c r="G143" s="1095"/>
      <c r="H143" s="31"/>
      <c r="I143" s="238"/>
    </row>
    <row r="144" spans="2:11" ht="14.5" thickBot="1" x14ac:dyDescent="0.35">
      <c r="B144" s="29"/>
      <c r="C144" s="1115"/>
      <c r="D144" s="402" t="s">
        <v>433</v>
      </c>
      <c r="E144" s="499">
        <v>59695.28</v>
      </c>
      <c r="F144" s="1118"/>
      <c r="G144" s="1096"/>
      <c r="H144" s="31"/>
      <c r="I144" s="238"/>
    </row>
    <row r="145" spans="2:10" ht="26.5" thickBot="1" x14ac:dyDescent="0.35">
      <c r="B145" s="29"/>
      <c r="C145" s="249" t="s">
        <v>417</v>
      </c>
      <c r="D145" s="253" t="s">
        <v>436</v>
      </c>
      <c r="E145" s="492">
        <v>40468.589999999997</v>
      </c>
      <c r="F145" s="492">
        <f>+E145</f>
        <v>40468.589999999997</v>
      </c>
      <c r="G145" s="529" t="s">
        <v>437</v>
      </c>
      <c r="H145" s="31"/>
      <c r="I145" s="238"/>
    </row>
    <row r="146" spans="2:10" x14ac:dyDescent="0.3">
      <c r="B146" s="29"/>
      <c r="C146" s="1088" t="s">
        <v>417</v>
      </c>
      <c r="D146" s="248" t="s">
        <v>433</v>
      </c>
      <c r="E146" s="489">
        <v>10621.2</v>
      </c>
      <c r="F146" s="489">
        <f>+E146</f>
        <v>10621.2</v>
      </c>
      <c r="G146" s="1094" t="s">
        <v>1048</v>
      </c>
      <c r="H146" s="31"/>
      <c r="I146" s="238"/>
    </row>
    <row r="147" spans="2:10" ht="14.5" thickBot="1" x14ac:dyDescent="0.35">
      <c r="B147" s="29"/>
      <c r="C147" s="1090"/>
      <c r="D147" s="403" t="s">
        <v>427</v>
      </c>
      <c r="E147" s="491">
        <v>10896.8</v>
      </c>
      <c r="F147" s="491"/>
      <c r="G147" s="1096"/>
      <c r="H147" s="31"/>
      <c r="I147" s="238"/>
    </row>
    <row r="148" spans="2:10" x14ac:dyDescent="0.3">
      <c r="B148" s="29"/>
      <c r="C148" s="1088" t="s">
        <v>417</v>
      </c>
      <c r="D148" s="251" t="s">
        <v>422</v>
      </c>
      <c r="E148" s="500">
        <v>12690.1</v>
      </c>
      <c r="F148" s="500"/>
      <c r="G148" s="1110" t="s">
        <v>439</v>
      </c>
      <c r="H148" s="31"/>
      <c r="I148" s="238"/>
    </row>
    <row r="149" spans="2:10" x14ac:dyDescent="0.3">
      <c r="B149" s="29"/>
      <c r="C149" s="1089"/>
      <c r="D149" s="400" t="s">
        <v>433</v>
      </c>
      <c r="E149" s="501">
        <v>39824.980000000003</v>
      </c>
      <c r="F149" s="501"/>
      <c r="G149" s="1111"/>
      <c r="H149" s="31"/>
      <c r="I149" s="238"/>
    </row>
    <row r="150" spans="2:10" x14ac:dyDescent="0.3">
      <c r="B150" s="29"/>
      <c r="C150" s="1089"/>
      <c r="D150" s="400" t="s">
        <v>438</v>
      </c>
      <c r="E150" s="501">
        <v>21900.48</v>
      </c>
      <c r="F150" s="501"/>
      <c r="G150" s="1111"/>
      <c r="H150" s="31"/>
      <c r="I150" s="238"/>
    </row>
    <row r="151" spans="2:10" ht="14.5" thickBot="1" x14ac:dyDescent="0.35">
      <c r="B151" s="29"/>
      <c r="C151" s="1090"/>
      <c r="D151" s="397" t="s">
        <v>426</v>
      </c>
      <c r="E151" s="502">
        <v>18421.599999999999</v>
      </c>
      <c r="F151" s="502">
        <f>+E151</f>
        <v>18421.599999999999</v>
      </c>
      <c r="G151" s="1112"/>
      <c r="H151" s="31"/>
      <c r="I151" s="238"/>
    </row>
    <row r="152" spans="2:10" s="258" customFormat="1" ht="32" customHeight="1" x14ac:dyDescent="0.3">
      <c r="B152" s="254"/>
      <c r="C152" s="1088" t="s">
        <v>417</v>
      </c>
      <c r="D152" s="255" t="s">
        <v>438</v>
      </c>
      <c r="E152" s="492">
        <v>15564</v>
      </c>
      <c r="F152" s="1092">
        <v>17590</v>
      </c>
      <c r="G152" s="1095" t="s">
        <v>1637</v>
      </c>
      <c r="H152" s="256"/>
      <c r="I152" s="257"/>
    </row>
    <row r="153" spans="2:10" s="258" customFormat="1" ht="32" customHeight="1" thickBot="1" x14ac:dyDescent="0.35">
      <c r="B153" s="254"/>
      <c r="C153" s="1090"/>
      <c r="D153" s="404" t="s">
        <v>440</v>
      </c>
      <c r="E153" s="490">
        <v>15430</v>
      </c>
      <c r="F153" s="1092"/>
      <c r="G153" s="1095"/>
      <c r="H153" s="256"/>
      <c r="I153" s="257"/>
    </row>
    <row r="154" spans="2:10" s="258" customFormat="1" ht="13" x14ac:dyDescent="0.3">
      <c r="B154" s="254"/>
      <c r="C154" s="1088" t="s">
        <v>417</v>
      </c>
      <c r="D154" s="259" t="s">
        <v>422</v>
      </c>
      <c r="E154" s="489">
        <f>12044+787.18</f>
        <v>12831.18</v>
      </c>
      <c r="F154" s="954">
        <v>12044</v>
      </c>
      <c r="G154" s="1094" t="s">
        <v>441</v>
      </c>
      <c r="H154" s="256"/>
      <c r="I154" s="257"/>
      <c r="J154" s="1046"/>
    </row>
    <row r="155" spans="2:10" s="258" customFormat="1" ht="13" x14ac:dyDescent="0.3">
      <c r="B155" s="254"/>
      <c r="C155" s="1089"/>
      <c r="D155" s="404" t="s">
        <v>433</v>
      </c>
      <c r="E155" s="490">
        <f>79236.25+6076.31+67217.5</f>
        <v>152530.06</v>
      </c>
      <c r="F155" s="956">
        <v>6076.31</v>
      </c>
      <c r="G155" s="1095"/>
      <c r="H155" s="256"/>
      <c r="I155" s="257"/>
      <c r="J155" s="1046"/>
    </row>
    <row r="156" spans="2:10" s="258" customFormat="1" ht="13" x14ac:dyDescent="0.3">
      <c r="B156" s="254"/>
      <c r="C156" s="1089"/>
      <c r="D156" s="400" t="s">
        <v>426</v>
      </c>
      <c r="E156" s="490">
        <f>28838.5+4544.31+5244</f>
        <v>38626.81</v>
      </c>
      <c r="F156" s="956">
        <v>11217.96</v>
      </c>
      <c r="G156" s="1095"/>
      <c r="H156" s="256"/>
      <c r="I156" s="257"/>
      <c r="J156" s="1046"/>
    </row>
    <row r="157" spans="2:10" s="258" customFormat="1" ht="13" x14ac:dyDescent="0.3">
      <c r="B157" s="254"/>
      <c r="C157" s="1089"/>
      <c r="D157" s="405" t="s">
        <v>427</v>
      </c>
      <c r="E157" s="490">
        <f>16863.2+13100</f>
        <v>29963.200000000001</v>
      </c>
      <c r="F157" s="956"/>
      <c r="G157" s="1095"/>
      <c r="H157" s="256"/>
      <c r="I157" s="257"/>
      <c r="J157" s="1046"/>
    </row>
    <row r="158" spans="2:10" s="258" customFormat="1" ht="13" x14ac:dyDescent="0.3">
      <c r="B158" s="254"/>
      <c r="C158" s="1089"/>
      <c r="D158" s="404" t="s">
        <v>436</v>
      </c>
      <c r="E158" s="490">
        <f>16707.65+22250.92+11973.8</f>
        <v>50932.369999999995</v>
      </c>
      <c r="F158" s="956">
        <v>11973.8</v>
      </c>
      <c r="G158" s="1095"/>
      <c r="H158" s="256"/>
      <c r="I158" s="257"/>
      <c r="J158" s="1046"/>
    </row>
    <row r="159" spans="2:10" s="258" customFormat="1" ht="13" x14ac:dyDescent="0.3">
      <c r="B159" s="254"/>
      <c r="C159" s="1089"/>
      <c r="D159" s="404" t="s">
        <v>440</v>
      </c>
      <c r="E159" s="490">
        <f>16394+7647.5+6670</f>
        <v>30711.5</v>
      </c>
      <c r="F159" s="956">
        <v>16394</v>
      </c>
      <c r="G159" s="1095"/>
      <c r="H159" s="256"/>
      <c r="I159" s="257"/>
      <c r="J159" s="1046"/>
    </row>
    <row r="160" spans="2:10" s="258" customFormat="1" ht="239.4" customHeight="1" thickBot="1" x14ac:dyDescent="0.35">
      <c r="B160" s="254"/>
      <c r="C160" s="1090"/>
      <c r="D160" s="397" t="s">
        <v>438</v>
      </c>
      <c r="E160" s="491">
        <f>16494.5+5203.75+6325+13570</f>
        <v>41593.25</v>
      </c>
      <c r="F160" s="491"/>
      <c r="G160" s="1096"/>
      <c r="H160" s="256"/>
      <c r="I160" s="257"/>
      <c r="J160" s="1046"/>
    </row>
    <row r="161" spans="2:10" s="258" customFormat="1" ht="13" x14ac:dyDescent="0.3">
      <c r="B161" s="254"/>
      <c r="C161" s="1088" t="s">
        <v>417</v>
      </c>
      <c r="D161" s="255" t="s">
        <v>442</v>
      </c>
      <c r="E161" s="492">
        <v>119391.46</v>
      </c>
      <c r="F161" s="1092">
        <f>+E162</f>
        <v>109449.85</v>
      </c>
      <c r="G161" s="1095" t="s">
        <v>1048</v>
      </c>
      <c r="H161" s="256"/>
      <c r="I161" s="257"/>
    </row>
    <row r="162" spans="2:10" s="258" customFormat="1" ht="13" x14ac:dyDescent="0.3">
      <c r="B162" s="254"/>
      <c r="C162" s="1089"/>
      <c r="D162" s="404" t="s">
        <v>434</v>
      </c>
      <c r="E162" s="490">
        <v>109449.85</v>
      </c>
      <c r="F162" s="1092"/>
      <c r="G162" s="1095"/>
      <c r="H162" s="256"/>
      <c r="I162" s="257"/>
    </row>
    <row r="163" spans="2:10" s="258" customFormat="1" ht="13" x14ac:dyDescent="0.3">
      <c r="B163" s="254"/>
      <c r="C163" s="1089"/>
      <c r="D163" s="404" t="s">
        <v>443</v>
      </c>
      <c r="E163" s="490">
        <v>120369.94</v>
      </c>
      <c r="F163" s="1092"/>
      <c r="G163" s="1095"/>
      <c r="H163" s="256"/>
      <c r="I163" s="257"/>
    </row>
    <row r="164" spans="2:10" s="258" customFormat="1" ht="13.5" thickBot="1" x14ac:dyDescent="0.35">
      <c r="B164" s="254"/>
      <c r="C164" s="1090"/>
      <c r="D164" s="404" t="s">
        <v>444</v>
      </c>
      <c r="E164" s="490">
        <v>120922.95</v>
      </c>
      <c r="F164" s="1092"/>
      <c r="G164" s="1095"/>
      <c r="H164" s="256"/>
      <c r="I164" s="257"/>
    </row>
    <row r="165" spans="2:10" s="258" customFormat="1" ht="12.75" customHeight="1" x14ac:dyDescent="0.3">
      <c r="B165" s="254"/>
      <c r="C165" s="1088" t="s">
        <v>417</v>
      </c>
      <c r="D165" s="260" t="s">
        <v>424</v>
      </c>
      <c r="E165" s="503">
        <v>7448</v>
      </c>
      <c r="F165" s="1091"/>
      <c r="G165" s="1120" t="s">
        <v>445</v>
      </c>
      <c r="H165" s="256"/>
      <c r="I165" s="257"/>
      <c r="J165" s="1046"/>
    </row>
    <row r="166" spans="2:10" s="258" customFormat="1" ht="13" x14ac:dyDescent="0.3">
      <c r="B166" s="254"/>
      <c r="C166" s="1089"/>
      <c r="D166" s="406" t="s">
        <v>438</v>
      </c>
      <c r="E166" s="504">
        <v>29567</v>
      </c>
      <c r="F166" s="1119"/>
      <c r="G166" s="1121"/>
      <c r="H166" s="256"/>
      <c r="I166" s="257"/>
      <c r="J166" s="1046"/>
    </row>
    <row r="167" spans="2:10" s="258" customFormat="1" ht="13" x14ac:dyDescent="0.3">
      <c r="B167" s="254"/>
      <c r="C167" s="1089"/>
      <c r="D167" s="406" t="s">
        <v>446</v>
      </c>
      <c r="E167" s="504">
        <v>29020</v>
      </c>
      <c r="F167" s="956">
        <v>8150</v>
      </c>
      <c r="G167" s="1121"/>
      <c r="H167" s="256"/>
      <c r="I167" s="257"/>
      <c r="J167" s="1046"/>
    </row>
    <row r="168" spans="2:10" s="258" customFormat="1" ht="13" x14ac:dyDescent="0.3">
      <c r="B168" s="254"/>
      <c r="C168" s="1089"/>
      <c r="D168" s="406" t="s">
        <v>433</v>
      </c>
      <c r="E168" s="504">
        <v>28610</v>
      </c>
      <c r="F168" s="956">
        <v>3820</v>
      </c>
      <c r="G168" s="1121"/>
      <c r="H168" s="256"/>
      <c r="I168" s="257"/>
      <c r="J168" s="1046"/>
    </row>
    <row r="169" spans="2:10" s="258" customFormat="1" ht="13" x14ac:dyDescent="0.3">
      <c r="B169" s="254"/>
      <c r="C169" s="1089"/>
      <c r="D169" s="406" t="s">
        <v>440</v>
      </c>
      <c r="E169" s="504">
        <v>29109</v>
      </c>
      <c r="F169" s="956">
        <v>1944</v>
      </c>
      <c r="G169" s="1121"/>
      <c r="H169" s="256"/>
      <c r="I169" s="257"/>
      <c r="J169" s="1046"/>
    </row>
    <row r="170" spans="2:10" s="258" customFormat="1" ht="13.5" thickBot="1" x14ac:dyDescent="0.35">
      <c r="B170" s="254"/>
      <c r="C170" s="1090"/>
      <c r="D170" s="407" t="s">
        <v>447</v>
      </c>
      <c r="E170" s="491">
        <v>22990</v>
      </c>
      <c r="F170" s="955">
        <v>10840</v>
      </c>
      <c r="G170" s="1122"/>
      <c r="H170" s="256"/>
      <c r="I170" s="257"/>
      <c r="J170" s="1046"/>
    </row>
    <row r="171" spans="2:10" s="258" customFormat="1" ht="13" x14ac:dyDescent="0.3">
      <c r="B171" s="254"/>
      <c r="C171" s="1088" t="s">
        <v>417</v>
      </c>
      <c r="D171" s="255" t="s">
        <v>448</v>
      </c>
      <c r="E171" s="492">
        <v>41518.449999999997</v>
      </c>
      <c r="F171" s="1092">
        <f>+E171</f>
        <v>41518.449999999997</v>
      </c>
      <c r="G171" s="1095" t="s">
        <v>449</v>
      </c>
      <c r="H171" s="256"/>
      <c r="I171" s="257"/>
    </row>
    <row r="172" spans="2:10" s="258" customFormat="1" ht="63.75" customHeight="1" thickBot="1" x14ac:dyDescent="0.35">
      <c r="B172" s="254"/>
      <c r="C172" s="1090"/>
      <c r="D172" s="404" t="s">
        <v>450</v>
      </c>
      <c r="E172" s="490">
        <v>21734.31</v>
      </c>
      <c r="F172" s="1092"/>
      <c r="G172" s="1095"/>
      <c r="H172" s="256"/>
      <c r="I172" s="257"/>
    </row>
    <row r="173" spans="2:10" s="258" customFormat="1" ht="26" x14ac:dyDescent="0.3">
      <c r="B173" s="254"/>
      <c r="C173" s="1088" t="s">
        <v>417</v>
      </c>
      <c r="D173" s="261" t="s">
        <v>451</v>
      </c>
      <c r="E173" s="489">
        <v>40971.599999999999</v>
      </c>
      <c r="F173" s="1116">
        <f>+E175</f>
        <v>4668.3</v>
      </c>
      <c r="G173" s="1094" t="s">
        <v>1050</v>
      </c>
      <c r="H173" s="256"/>
      <c r="I173" s="257"/>
    </row>
    <row r="174" spans="2:10" s="258" customFormat="1" ht="13" x14ac:dyDescent="0.3">
      <c r="B174" s="254"/>
      <c r="C174" s="1089"/>
      <c r="D174" s="404" t="s">
        <v>452</v>
      </c>
      <c r="E174" s="490">
        <v>17700</v>
      </c>
      <c r="F174" s="1117"/>
      <c r="G174" s="1095"/>
      <c r="H174" s="256"/>
      <c r="I174" s="257"/>
    </row>
    <row r="175" spans="2:10" s="258" customFormat="1" ht="13" x14ac:dyDescent="0.3">
      <c r="B175" s="254"/>
      <c r="C175" s="1089"/>
      <c r="D175" s="408" t="s">
        <v>453</v>
      </c>
      <c r="E175" s="498">
        <v>4668.3</v>
      </c>
      <c r="F175" s="1117"/>
      <c r="G175" s="1095"/>
      <c r="H175" s="256"/>
      <c r="I175" s="257"/>
    </row>
    <row r="176" spans="2:10" s="258" customFormat="1" ht="13" x14ac:dyDescent="0.3">
      <c r="B176" s="254"/>
      <c r="C176" s="1089"/>
      <c r="D176" s="408" t="s">
        <v>454</v>
      </c>
      <c r="E176" s="498">
        <v>18049.62</v>
      </c>
      <c r="F176" s="1117"/>
      <c r="G176" s="1095"/>
      <c r="H176" s="256"/>
      <c r="I176" s="257"/>
    </row>
    <row r="177" spans="2:10" s="258" customFormat="1" ht="13" x14ac:dyDescent="0.3">
      <c r="B177" s="254"/>
      <c r="C177" s="1089"/>
      <c r="D177" s="408" t="s">
        <v>455</v>
      </c>
      <c r="E177" s="498">
        <v>12301.45</v>
      </c>
      <c r="F177" s="1117"/>
      <c r="G177" s="1095"/>
      <c r="H177" s="256"/>
      <c r="I177" s="257"/>
    </row>
    <row r="178" spans="2:10" s="258" customFormat="1" ht="13.5" thickBot="1" x14ac:dyDescent="0.35">
      <c r="B178" s="254"/>
      <c r="C178" s="1090"/>
      <c r="D178" s="409" t="s">
        <v>456</v>
      </c>
      <c r="E178" s="499">
        <v>13684.79</v>
      </c>
      <c r="F178" s="1118"/>
      <c r="G178" s="1096"/>
      <c r="H178" s="256"/>
      <c r="I178" s="257"/>
    </row>
    <row r="179" spans="2:10" s="258" customFormat="1" ht="13" x14ac:dyDescent="0.3">
      <c r="B179" s="254"/>
      <c r="C179" s="1088" t="s">
        <v>417</v>
      </c>
      <c r="D179" s="410" t="s">
        <v>457</v>
      </c>
      <c r="E179" s="505">
        <v>63265.440000000002</v>
      </c>
      <c r="F179" s="506">
        <f>+E179</f>
        <v>63265.440000000002</v>
      </c>
      <c r="G179" s="1095" t="s">
        <v>1048</v>
      </c>
      <c r="H179" s="256"/>
      <c r="I179" s="257"/>
    </row>
    <row r="180" spans="2:10" s="258" customFormat="1" ht="13.5" thickBot="1" x14ac:dyDescent="0.35">
      <c r="B180" s="254"/>
      <c r="C180" s="1090"/>
      <c r="D180" s="411" t="s">
        <v>452</v>
      </c>
      <c r="E180" s="507">
        <v>67260</v>
      </c>
      <c r="F180" s="506"/>
      <c r="G180" s="1095"/>
      <c r="H180" s="256"/>
      <c r="I180" s="257"/>
    </row>
    <row r="181" spans="2:10" s="258" customFormat="1" ht="13" x14ac:dyDescent="0.3">
      <c r="B181" s="254"/>
      <c r="C181" s="1088" t="s">
        <v>417</v>
      </c>
      <c r="D181" s="262" t="s">
        <v>434</v>
      </c>
      <c r="E181" s="497">
        <v>193219.01039999997</v>
      </c>
      <c r="F181" s="508"/>
      <c r="G181" s="1094" t="s">
        <v>419</v>
      </c>
      <c r="H181" s="256"/>
      <c r="I181" s="257"/>
    </row>
    <row r="182" spans="2:10" s="258" customFormat="1" ht="13" x14ac:dyDescent="0.3">
      <c r="B182" s="254"/>
      <c r="C182" s="1089"/>
      <c r="D182" s="412" t="s">
        <v>444</v>
      </c>
      <c r="E182" s="498">
        <v>200806.84356000001</v>
      </c>
      <c r="F182" s="506"/>
      <c r="G182" s="1095"/>
      <c r="H182" s="256"/>
      <c r="I182" s="257"/>
    </row>
    <row r="183" spans="2:10" s="258" customFormat="1" ht="13" x14ac:dyDescent="0.3">
      <c r="B183" s="254"/>
      <c r="C183" s="1089"/>
      <c r="D183" s="412" t="s">
        <v>458</v>
      </c>
      <c r="E183" s="498">
        <v>165169.63312837947</v>
      </c>
      <c r="F183" s="506">
        <f>+E183</f>
        <v>165169.63312837947</v>
      </c>
      <c r="G183" s="1095"/>
      <c r="H183" s="256"/>
      <c r="I183" s="257"/>
    </row>
    <row r="184" spans="2:10" s="258" customFormat="1" ht="13" x14ac:dyDescent="0.3">
      <c r="B184" s="254"/>
      <c r="C184" s="1089"/>
      <c r="D184" s="412" t="s">
        <v>435</v>
      </c>
      <c r="E184" s="498">
        <v>200610.54353999998</v>
      </c>
      <c r="F184" s="506"/>
      <c r="G184" s="1095"/>
      <c r="H184" s="256"/>
      <c r="I184" s="257"/>
    </row>
    <row r="185" spans="2:10" s="258" customFormat="1" ht="13" x14ac:dyDescent="0.3">
      <c r="B185" s="254"/>
      <c r="C185" s="1089"/>
      <c r="D185" s="412" t="s">
        <v>459</v>
      </c>
      <c r="E185" s="498">
        <v>200281.47</v>
      </c>
      <c r="F185" s="506"/>
      <c r="G185" s="1095"/>
      <c r="H185" s="256"/>
      <c r="I185" s="257"/>
    </row>
    <row r="186" spans="2:10" s="258" customFormat="1" ht="13.5" thickBot="1" x14ac:dyDescent="0.35">
      <c r="B186" s="254"/>
      <c r="C186" s="1090"/>
      <c r="D186" s="413" t="s">
        <v>448</v>
      </c>
      <c r="E186" s="499">
        <v>181974.47220000002</v>
      </c>
      <c r="F186" s="509"/>
      <c r="G186" s="1096"/>
      <c r="H186" s="256"/>
      <c r="I186" s="257"/>
    </row>
    <row r="187" spans="2:10" s="258" customFormat="1" ht="65.5" thickBot="1" x14ac:dyDescent="0.35">
      <c r="B187" s="254"/>
      <c r="C187" s="249" t="s">
        <v>460</v>
      </c>
      <c r="D187" s="263" t="s">
        <v>461</v>
      </c>
      <c r="E187" s="510">
        <v>4560</v>
      </c>
      <c r="F187" s="510">
        <f>+E187</f>
        <v>4560</v>
      </c>
      <c r="G187" s="364" t="s">
        <v>1049</v>
      </c>
      <c r="H187" s="256"/>
      <c r="I187" s="257"/>
    </row>
    <row r="188" spans="2:10" s="258" customFormat="1" ht="26.5" thickBot="1" x14ac:dyDescent="0.35">
      <c r="B188" s="254"/>
      <c r="C188" s="249" t="s">
        <v>417</v>
      </c>
      <c r="D188" s="264" t="s">
        <v>462</v>
      </c>
      <c r="E188" s="511">
        <v>62700</v>
      </c>
      <c r="F188" s="511">
        <f>+E188</f>
        <v>62700</v>
      </c>
      <c r="G188" s="265" t="s">
        <v>463</v>
      </c>
      <c r="H188" s="256"/>
      <c r="I188" s="257"/>
    </row>
    <row r="189" spans="2:10" s="258" customFormat="1" ht="13" x14ac:dyDescent="0.3">
      <c r="B189" s="254"/>
      <c r="C189" s="1088" t="s">
        <v>417</v>
      </c>
      <c r="D189" s="266" t="s">
        <v>438</v>
      </c>
      <c r="E189" s="512">
        <v>17227</v>
      </c>
      <c r="F189" s="1092">
        <f>+E189</f>
        <v>17227</v>
      </c>
      <c r="G189" s="1095" t="s">
        <v>469</v>
      </c>
      <c r="H189" s="256"/>
      <c r="I189" s="257"/>
    </row>
    <row r="190" spans="2:10" s="258" customFormat="1" ht="13" x14ac:dyDescent="0.3">
      <c r="B190" s="254"/>
      <c r="C190" s="1089"/>
      <c r="D190" s="406" t="s">
        <v>464</v>
      </c>
      <c r="E190" s="504">
        <v>12650</v>
      </c>
      <c r="F190" s="1092"/>
      <c r="G190" s="1095"/>
      <c r="H190" s="256"/>
      <c r="I190" s="257"/>
    </row>
    <row r="191" spans="2:10" s="258" customFormat="1" ht="13.5" thickBot="1" x14ac:dyDescent="0.35">
      <c r="B191" s="254"/>
      <c r="C191" s="1090"/>
      <c r="D191" s="414" t="s">
        <v>465</v>
      </c>
      <c r="E191" s="490">
        <v>16560</v>
      </c>
      <c r="F191" s="1092"/>
      <c r="G191" s="1095"/>
      <c r="H191" s="256"/>
      <c r="I191" s="257"/>
    </row>
    <row r="192" spans="2:10" s="258" customFormat="1" ht="13" x14ac:dyDescent="0.3">
      <c r="B192" s="254"/>
      <c r="C192" s="1088" t="s">
        <v>417</v>
      </c>
      <c r="D192" s="260" t="s">
        <v>424</v>
      </c>
      <c r="E192" s="503">
        <v>7764.8</v>
      </c>
      <c r="F192" s="513"/>
      <c r="G192" s="1094" t="s">
        <v>1047</v>
      </c>
      <c r="H192" s="256"/>
      <c r="I192" s="257"/>
      <c r="J192" s="1123"/>
    </row>
    <row r="193" spans="2:10" s="258" customFormat="1" ht="13" x14ac:dyDescent="0.3">
      <c r="B193" s="254"/>
      <c r="C193" s="1089"/>
      <c r="D193" s="406" t="s">
        <v>466</v>
      </c>
      <c r="E193" s="504">
        <v>1058</v>
      </c>
      <c r="F193" s="504"/>
      <c r="G193" s="1095"/>
      <c r="H193" s="256"/>
      <c r="I193" s="257"/>
      <c r="J193" s="1123"/>
    </row>
    <row r="194" spans="2:10" s="258" customFormat="1" ht="13" x14ac:dyDescent="0.3">
      <c r="B194" s="254"/>
      <c r="C194" s="1089"/>
      <c r="D194" s="406" t="s">
        <v>467</v>
      </c>
      <c r="E194" s="504">
        <v>8073</v>
      </c>
      <c r="F194" s="504"/>
      <c r="G194" s="1095"/>
      <c r="H194" s="256"/>
      <c r="I194" s="257"/>
      <c r="J194" s="1123"/>
    </row>
    <row r="195" spans="2:10" s="258" customFormat="1" ht="13" x14ac:dyDescent="0.3">
      <c r="B195" s="254"/>
      <c r="C195" s="1089"/>
      <c r="D195" s="406" t="s">
        <v>438</v>
      </c>
      <c r="E195" s="504">
        <v>8855</v>
      </c>
      <c r="F195" s="956">
        <v>3910</v>
      </c>
      <c r="G195" s="1095"/>
      <c r="H195" s="256"/>
      <c r="I195" s="257"/>
      <c r="J195" s="1123"/>
    </row>
    <row r="196" spans="2:10" s="258" customFormat="1" ht="13" x14ac:dyDescent="0.3">
      <c r="B196" s="254"/>
      <c r="C196" s="1089"/>
      <c r="D196" s="406" t="s">
        <v>446</v>
      </c>
      <c r="E196" s="504">
        <v>8183.4</v>
      </c>
      <c r="F196" s="956"/>
      <c r="G196" s="1095"/>
      <c r="H196" s="256"/>
      <c r="I196" s="257"/>
      <c r="J196" s="1123"/>
    </row>
    <row r="197" spans="2:10" s="258" customFormat="1" ht="13" x14ac:dyDescent="0.3">
      <c r="B197" s="254"/>
      <c r="C197" s="1089"/>
      <c r="D197" s="406" t="s">
        <v>468</v>
      </c>
      <c r="E197" s="504">
        <v>12880</v>
      </c>
      <c r="F197" s="956">
        <v>3861.7</v>
      </c>
      <c r="G197" s="1095"/>
      <c r="H197" s="256"/>
      <c r="I197" s="257"/>
      <c r="J197" s="1123"/>
    </row>
    <row r="198" spans="2:10" s="258" customFormat="1" ht="13.5" thickBot="1" x14ac:dyDescent="0.35">
      <c r="B198" s="254"/>
      <c r="C198" s="1090"/>
      <c r="D198" s="407" t="s">
        <v>433</v>
      </c>
      <c r="E198" s="514">
        <v>129140.5</v>
      </c>
      <c r="F198" s="955"/>
      <c r="G198" s="1096"/>
      <c r="H198" s="256"/>
      <c r="I198" s="257"/>
      <c r="J198" s="1123"/>
    </row>
    <row r="199" spans="2:10" s="258" customFormat="1" ht="26.5" thickBot="1" x14ac:dyDescent="0.35">
      <c r="B199" s="254"/>
      <c r="C199" s="249" t="s">
        <v>417</v>
      </c>
      <c r="D199" s="253" t="s">
        <v>448</v>
      </c>
      <c r="E199" s="492">
        <v>13850</v>
      </c>
      <c r="F199" s="957">
        <f>+E199</f>
        <v>13850</v>
      </c>
      <c r="G199" s="364" t="s">
        <v>463</v>
      </c>
      <c r="H199" s="256"/>
      <c r="I199" s="257"/>
    </row>
    <row r="200" spans="2:10" s="258" customFormat="1" ht="13" x14ac:dyDescent="0.3">
      <c r="B200" s="254"/>
      <c r="C200" s="1088" t="s">
        <v>417</v>
      </c>
      <c r="D200" s="248" t="s">
        <v>448</v>
      </c>
      <c r="E200" s="489">
        <v>65370.55</v>
      </c>
      <c r="F200" s="954">
        <f>+E200</f>
        <v>65370.55</v>
      </c>
      <c r="G200" s="1094" t="s">
        <v>469</v>
      </c>
      <c r="H200" s="256"/>
      <c r="I200" s="257"/>
    </row>
    <row r="201" spans="2:10" s="258" customFormat="1" ht="13.5" thickBot="1" x14ac:dyDescent="0.35">
      <c r="B201" s="254"/>
      <c r="C201" s="1090"/>
      <c r="D201" s="395" t="s">
        <v>429</v>
      </c>
      <c r="E201" s="491">
        <v>7992.99</v>
      </c>
      <c r="F201" s="955"/>
      <c r="G201" s="1096"/>
      <c r="H201" s="256"/>
      <c r="I201" s="257"/>
    </row>
    <row r="202" spans="2:10" s="258" customFormat="1" ht="15" customHeight="1" x14ac:dyDescent="0.3">
      <c r="B202" s="254"/>
      <c r="C202" s="1088" t="s">
        <v>417</v>
      </c>
      <c r="D202" s="253" t="s">
        <v>448</v>
      </c>
      <c r="E202" s="492">
        <v>9483.3799999999992</v>
      </c>
      <c r="F202" s="957">
        <v>7671.65</v>
      </c>
      <c r="G202" s="1095" t="s">
        <v>1047</v>
      </c>
      <c r="H202" s="256"/>
      <c r="I202" s="257"/>
      <c r="J202" s="1123"/>
    </row>
    <row r="203" spans="2:10" s="258" customFormat="1" ht="57" customHeight="1" thickBot="1" x14ac:dyDescent="0.35">
      <c r="B203" s="254"/>
      <c r="C203" s="1090"/>
      <c r="D203" s="396" t="s">
        <v>429</v>
      </c>
      <c r="E203" s="490">
        <v>1625.3</v>
      </c>
      <c r="F203" s="490">
        <f>+E203</f>
        <v>1625.3</v>
      </c>
      <c r="G203" s="1095"/>
      <c r="H203" s="256"/>
      <c r="I203" s="257"/>
      <c r="J203" s="1123"/>
    </row>
    <row r="204" spans="2:10" s="258" customFormat="1" ht="13" x14ac:dyDescent="0.3">
      <c r="B204" s="254"/>
      <c r="C204" s="1088" t="s">
        <v>417</v>
      </c>
      <c r="D204" s="267" t="s">
        <v>448</v>
      </c>
      <c r="E204" s="500">
        <v>8113.22</v>
      </c>
      <c r="F204" s="503"/>
      <c r="G204" s="1094" t="s">
        <v>419</v>
      </c>
      <c r="H204" s="256"/>
      <c r="I204" s="257"/>
    </row>
    <row r="205" spans="2:10" s="258" customFormat="1" ht="13" x14ac:dyDescent="0.3">
      <c r="B205" s="254"/>
      <c r="C205" s="1089"/>
      <c r="D205" s="415" t="s">
        <v>438</v>
      </c>
      <c r="E205" s="515">
        <v>3995.96</v>
      </c>
      <c r="F205" s="504"/>
      <c r="G205" s="1095"/>
      <c r="H205" s="256"/>
      <c r="I205" s="257"/>
    </row>
    <row r="206" spans="2:10" s="258" customFormat="1" ht="13" x14ac:dyDescent="0.3">
      <c r="B206" s="254"/>
      <c r="C206" s="1089"/>
      <c r="D206" s="415" t="s">
        <v>446</v>
      </c>
      <c r="E206" s="515">
        <v>17075.09375</v>
      </c>
      <c r="F206" s="504"/>
      <c r="G206" s="1095"/>
      <c r="H206" s="256"/>
      <c r="I206" s="257"/>
    </row>
    <row r="207" spans="2:10" s="258" customFormat="1" ht="13" x14ac:dyDescent="0.3">
      <c r="B207" s="254"/>
      <c r="C207" s="1089"/>
      <c r="D207" s="415" t="s">
        <v>433</v>
      </c>
      <c r="E207" s="515">
        <v>3908.28125</v>
      </c>
      <c r="F207" s="504"/>
      <c r="G207" s="1095"/>
      <c r="H207" s="256"/>
      <c r="I207" s="257"/>
    </row>
    <row r="208" spans="2:10" s="258" customFormat="1" ht="13" x14ac:dyDescent="0.3">
      <c r="B208" s="254"/>
      <c r="C208" s="1089"/>
      <c r="D208" s="416" t="s">
        <v>424</v>
      </c>
      <c r="E208" s="515">
        <v>6968.6875</v>
      </c>
      <c r="F208" s="504"/>
      <c r="G208" s="1095"/>
      <c r="H208" s="256"/>
      <c r="I208" s="257"/>
    </row>
    <row r="209" spans="2:9" s="258" customFormat="1" ht="13" x14ac:dyDescent="0.3">
      <c r="B209" s="254"/>
      <c r="C209" s="1089"/>
      <c r="D209" s="416" t="s">
        <v>470</v>
      </c>
      <c r="E209" s="516">
        <v>6003.125</v>
      </c>
      <c r="F209" s="504"/>
      <c r="G209" s="1095"/>
      <c r="H209" s="256"/>
      <c r="I209" s="257"/>
    </row>
    <row r="210" spans="2:9" s="258" customFormat="1" ht="13" x14ac:dyDescent="0.3">
      <c r="B210" s="254"/>
      <c r="C210" s="1089"/>
      <c r="D210" s="416" t="s">
        <v>422</v>
      </c>
      <c r="E210" s="516">
        <v>2750.28125</v>
      </c>
      <c r="F210" s="504">
        <f>+E210</f>
        <v>2750.28125</v>
      </c>
      <c r="G210" s="1095"/>
      <c r="H210" s="256"/>
      <c r="I210" s="257"/>
    </row>
    <row r="211" spans="2:9" s="258" customFormat="1" ht="13.5" thickBot="1" x14ac:dyDescent="0.35">
      <c r="B211" s="254"/>
      <c r="C211" s="1090"/>
      <c r="D211" s="395" t="s">
        <v>440</v>
      </c>
      <c r="E211" s="517">
        <v>4006</v>
      </c>
      <c r="F211" s="491"/>
      <c r="G211" s="1096"/>
      <c r="H211" s="256"/>
      <c r="I211" s="257"/>
    </row>
    <row r="212" spans="2:9" s="258" customFormat="1" ht="13" x14ac:dyDescent="0.3">
      <c r="B212" s="254"/>
      <c r="C212" s="1088" t="s">
        <v>417</v>
      </c>
      <c r="D212" s="268" t="s">
        <v>447</v>
      </c>
      <c r="E212" s="518">
        <v>12325</v>
      </c>
      <c r="F212" s="1133">
        <f>+E217</f>
        <v>9233</v>
      </c>
      <c r="G212" s="1142" t="s">
        <v>419</v>
      </c>
      <c r="H212" s="256"/>
      <c r="I212" s="257"/>
    </row>
    <row r="213" spans="2:9" s="258" customFormat="1" ht="13" x14ac:dyDescent="0.3">
      <c r="B213" s="254"/>
      <c r="C213" s="1089"/>
      <c r="D213" s="416" t="s">
        <v>471</v>
      </c>
      <c r="E213" s="515">
        <v>12914.8</v>
      </c>
      <c r="F213" s="1126"/>
      <c r="G213" s="1128"/>
      <c r="H213" s="256"/>
      <c r="I213" s="257"/>
    </row>
    <row r="214" spans="2:9" s="258" customFormat="1" ht="13" x14ac:dyDescent="0.3">
      <c r="B214" s="254"/>
      <c r="C214" s="1089"/>
      <c r="D214" s="417" t="s">
        <v>446</v>
      </c>
      <c r="E214" s="515">
        <v>11552</v>
      </c>
      <c r="F214" s="1126"/>
      <c r="G214" s="1128"/>
      <c r="H214" s="256"/>
      <c r="I214" s="257"/>
    </row>
    <row r="215" spans="2:9" s="258" customFormat="1" ht="13" x14ac:dyDescent="0.3">
      <c r="B215" s="254"/>
      <c r="C215" s="1089"/>
      <c r="D215" s="417" t="s">
        <v>433</v>
      </c>
      <c r="E215" s="515">
        <v>9673</v>
      </c>
      <c r="F215" s="1126"/>
      <c r="G215" s="1128"/>
      <c r="H215" s="256"/>
      <c r="I215" s="257"/>
    </row>
    <row r="216" spans="2:9" s="258" customFormat="1" ht="13" x14ac:dyDescent="0.3">
      <c r="B216" s="254"/>
      <c r="C216" s="1089"/>
      <c r="D216" s="417" t="s">
        <v>440</v>
      </c>
      <c r="E216" s="515">
        <v>10047</v>
      </c>
      <c r="F216" s="1126"/>
      <c r="G216" s="1128"/>
      <c r="H216" s="256"/>
      <c r="I216" s="257"/>
    </row>
    <row r="217" spans="2:9" s="258" customFormat="1" ht="13.5" thickBot="1" x14ac:dyDescent="0.35">
      <c r="B217" s="254"/>
      <c r="C217" s="1090"/>
      <c r="D217" s="419" t="s">
        <v>438</v>
      </c>
      <c r="E217" s="519">
        <v>9233</v>
      </c>
      <c r="F217" s="1134"/>
      <c r="G217" s="1143"/>
      <c r="H217" s="256"/>
      <c r="I217" s="257"/>
    </row>
    <row r="218" spans="2:9" s="270" customFormat="1" ht="13" x14ac:dyDescent="0.3">
      <c r="B218" s="254"/>
      <c r="C218" s="1088" t="s">
        <v>417</v>
      </c>
      <c r="D218" s="269" t="s">
        <v>448</v>
      </c>
      <c r="E218" s="520">
        <v>20868.38</v>
      </c>
      <c r="F218" s="1138">
        <f>+E219</f>
        <v>15790.37</v>
      </c>
      <c r="G218" s="1139" t="s">
        <v>419</v>
      </c>
      <c r="H218" s="256"/>
      <c r="I218" s="257"/>
    </row>
    <row r="219" spans="2:9" s="270" customFormat="1" ht="13.5" thickBot="1" x14ac:dyDescent="0.35">
      <c r="B219" s="254"/>
      <c r="C219" s="1090"/>
      <c r="D219" s="418" t="s">
        <v>429</v>
      </c>
      <c r="E219" s="521">
        <v>15790.37</v>
      </c>
      <c r="F219" s="1138"/>
      <c r="G219" s="1139"/>
      <c r="H219" s="256"/>
      <c r="I219" s="257"/>
    </row>
    <row r="220" spans="2:9" s="270" customFormat="1" ht="13" x14ac:dyDescent="0.3">
      <c r="B220" s="254"/>
      <c r="C220" s="1088" t="s">
        <v>417</v>
      </c>
      <c r="D220" s="271" t="s">
        <v>471</v>
      </c>
      <c r="E220" s="522">
        <v>34310</v>
      </c>
      <c r="F220" s="1133">
        <f>+E221</f>
        <v>21516.7</v>
      </c>
      <c r="G220" s="1140" t="s">
        <v>419</v>
      </c>
      <c r="H220" s="256"/>
      <c r="I220" s="257"/>
    </row>
    <row r="221" spans="2:9" s="270" customFormat="1" ht="13.5" thickBot="1" x14ac:dyDescent="0.35">
      <c r="B221" s="254"/>
      <c r="C221" s="1090"/>
      <c r="D221" s="419" t="s">
        <v>438</v>
      </c>
      <c r="E221" s="523">
        <v>21516.7</v>
      </c>
      <c r="F221" s="1134"/>
      <c r="G221" s="1141"/>
      <c r="H221" s="256"/>
      <c r="I221" s="257"/>
    </row>
    <row r="222" spans="2:9" s="270" customFormat="1" ht="13" x14ac:dyDescent="0.3">
      <c r="B222" s="254"/>
      <c r="C222" s="1088" t="s">
        <v>417</v>
      </c>
      <c r="D222" s="269" t="s">
        <v>471</v>
      </c>
      <c r="E222" s="524">
        <v>19659.5</v>
      </c>
      <c r="F222" s="1126">
        <f>+E227</f>
        <v>15421.750000000002</v>
      </c>
      <c r="G222" s="1127" t="s">
        <v>419</v>
      </c>
      <c r="H222" s="256"/>
      <c r="I222" s="257"/>
    </row>
    <row r="223" spans="2:9" s="270" customFormat="1" ht="13" x14ac:dyDescent="0.3">
      <c r="B223" s="254"/>
      <c r="C223" s="1089"/>
      <c r="D223" s="417" t="s">
        <v>446</v>
      </c>
      <c r="E223" s="515">
        <v>17209.45</v>
      </c>
      <c r="F223" s="1126"/>
      <c r="G223" s="1128"/>
      <c r="H223" s="256"/>
      <c r="I223" s="257"/>
    </row>
    <row r="224" spans="2:9" s="270" customFormat="1" ht="13" x14ac:dyDescent="0.3">
      <c r="B224" s="254"/>
      <c r="C224" s="1089"/>
      <c r="D224" s="417" t="s">
        <v>433</v>
      </c>
      <c r="E224" s="515">
        <v>15785</v>
      </c>
      <c r="F224" s="1126"/>
      <c r="G224" s="1128"/>
      <c r="H224" s="256"/>
      <c r="I224" s="257"/>
    </row>
    <row r="225" spans="2:9" s="270" customFormat="1" ht="13" x14ac:dyDescent="0.3">
      <c r="B225" s="254"/>
      <c r="C225" s="1089"/>
      <c r="D225" s="417" t="s">
        <v>440</v>
      </c>
      <c r="E225" s="515">
        <v>15966.25</v>
      </c>
      <c r="F225" s="1126"/>
      <c r="G225" s="1128"/>
      <c r="H225" s="256"/>
      <c r="I225" s="257"/>
    </row>
    <row r="226" spans="2:9" s="270" customFormat="1" ht="13" x14ac:dyDescent="0.3">
      <c r="B226" s="254"/>
      <c r="C226" s="1089"/>
      <c r="D226" s="417" t="s">
        <v>438</v>
      </c>
      <c r="E226" s="525">
        <v>17379</v>
      </c>
      <c r="F226" s="1126"/>
      <c r="G226" s="1128"/>
      <c r="H226" s="256"/>
      <c r="I226" s="257"/>
    </row>
    <row r="227" spans="2:9" s="270" customFormat="1" ht="13.5" thickBot="1" x14ac:dyDescent="0.35">
      <c r="B227" s="254"/>
      <c r="C227" s="1090"/>
      <c r="D227" s="418" t="s">
        <v>447</v>
      </c>
      <c r="E227" s="526">
        <v>15421.750000000002</v>
      </c>
      <c r="F227" s="1126"/>
      <c r="G227" s="1129"/>
      <c r="H227" s="256"/>
      <c r="I227" s="257"/>
    </row>
    <row r="228" spans="2:9" s="270" customFormat="1" ht="13" x14ac:dyDescent="0.3">
      <c r="B228" s="254"/>
      <c r="C228" s="1130" t="s">
        <v>417</v>
      </c>
      <c r="D228" s="271" t="s">
        <v>429</v>
      </c>
      <c r="E228" s="522">
        <v>36496.300000000003</v>
      </c>
      <c r="F228" s="1133">
        <f>+E230</f>
        <v>57600.959999999999</v>
      </c>
      <c r="G228" s="1135" t="s">
        <v>1046</v>
      </c>
      <c r="H228" s="256"/>
      <c r="I228" s="257"/>
    </row>
    <row r="229" spans="2:9" s="270" customFormat="1" ht="13" x14ac:dyDescent="0.3">
      <c r="B229" s="254"/>
      <c r="C229" s="1131"/>
      <c r="D229" s="417" t="s">
        <v>434</v>
      </c>
      <c r="E229" s="527">
        <v>70354</v>
      </c>
      <c r="F229" s="1126"/>
      <c r="G229" s="1136"/>
      <c r="H229" s="256"/>
      <c r="I229" s="257"/>
    </row>
    <row r="230" spans="2:9" s="270" customFormat="1" ht="13" x14ac:dyDescent="0.3">
      <c r="B230" s="254"/>
      <c r="C230" s="1131"/>
      <c r="D230" s="417" t="s">
        <v>448</v>
      </c>
      <c r="E230" s="527">
        <v>57600.959999999999</v>
      </c>
      <c r="F230" s="1126"/>
      <c r="G230" s="1136"/>
      <c r="H230" s="256"/>
      <c r="I230" s="257"/>
    </row>
    <row r="231" spans="2:9" s="270" customFormat="1" ht="13.5" thickBot="1" x14ac:dyDescent="0.35">
      <c r="B231" s="254"/>
      <c r="C231" s="1132"/>
      <c r="D231" s="419" t="s">
        <v>433</v>
      </c>
      <c r="E231" s="523">
        <v>88222.92</v>
      </c>
      <c r="F231" s="1134"/>
      <c r="G231" s="1137"/>
      <c r="H231" s="256"/>
      <c r="I231" s="257"/>
    </row>
    <row r="232" spans="2:9" s="146" customFormat="1" ht="14.5" thickBot="1" x14ac:dyDescent="0.35">
      <c r="B232" s="29"/>
      <c r="C232" s="272"/>
      <c r="D232" s="273"/>
      <c r="E232" s="274"/>
      <c r="F232" s="274"/>
      <c r="G232" s="275"/>
      <c r="H232" s="31"/>
      <c r="I232" s="238"/>
    </row>
    <row r="233" spans="2:9" s="156" customFormat="1" x14ac:dyDescent="0.3">
      <c r="B233" s="29"/>
      <c r="C233" s="1124" t="s">
        <v>472</v>
      </c>
      <c r="D233" s="1124"/>
      <c r="E233" s="1124"/>
      <c r="F233" s="1124"/>
      <c r="G233" s="1124"/>
      <c r="H233" s="31"/>
      <c r="I233" s="238"/>
    </row>
    <row r="234" spans="2:9" s="156" customFormat="1" x14ac:dyDescent="0.3">
      <c r="B234" s="29"/>
      <c r="C234" s="1125" t="s">
        <v>473</v>
      </c>
      <c r="D234" s="1125"/>
      <c r="E234" s="1125"/>
      <c r="F234" s="1125"/>
      <c r="G234" s="1125"/>
      <c r="H234" s="31"/>
      <c r="I234" s="238"/>
    </row>
    <row r="235" spans="2:9" s="156" customFormat="1" ht="14.5" thickBot="1" x14ac:dyDescent="0.35">
      <c r="B235" s="33"/>
      <c r="C235" s="34"/>
      <c r="D235" s="34"/>
      <c r="E235" s="34"/>
      <c r="F235" s="34"/>
      <c r="G235" s="34"/>
      <c r="H235" s="34"/>
      <c r="I235" s="35"/>
    </row>
    <row r="236" spans="2:9" s="156" customFormat="1" x14ac:dyDescent="0.3">
      <c r="B236" s="7"/>
      <c r="C236" s="7"/>
      <c r="D236" s="7"/>
      <c r="E236" s="7"/>
      <c r="F236" s="7"/>
      <c r="G236" s="7"/>
      <c r="H236" s="7"/>
      <c r="I236" s="7"/>
    </row>
    <row r="237" spans="2:9" s="156" customFormat="1" x14ac:dyDescent="0.3">
      <c r="B237" s="7"/>
      <c r="C237" s="7"/>
      <c r="D237" s="7"/>
      <c r="E237" s="7"/>
      <c r="F237" s="7"/>
      <c r="G237" s="7"/>
      <c r="H237" s="7"/>
      <c r="I237" s="7"/>
    </row>
    <row r="238" spans="2:9" s="156" customFormat="1" x14ac:dyDescent="0.3">
      <c r="B238" s="7"/>
      <c r="C238" s="15"/>
      <c r="D238" s="15"/>
      <c r="E238" s="15"/>
      <c r="F238" s="15"/>
      <c r="G238" s="15"/>
      <c r="H238" s="15"/>
      <c r="I238" s="7"/>
    </row>
    <row r="239" spans="2:9" s="156" customFormat="1" x14ac:dyDescent="0.3">
      <c r="B239" s="7"/>
      <c r="C239" s="15"/>
      <c r="D239" s="15"/>
      <c r="E239" s="15"/>
      <c r="F239" s="15"/>
      <c r="G239" s="15"/>
      <c r="H239" s="15"/>
      <c r="I239" s="7"/>
    </row>
    <row r="240" spans="2:9" s="156" customFormat="1" x14ac:dyDescent="0.3">
      <c r="B240" s="7"/>
      <c r="C240" s="157"/>
      <c r="D240" s="157"/>
      <c r="E240" s="157"/>
      <c r="F240" s="157"/>
      <c r="G240" s="157"/>
      <c r="H240" s="157"/>
      <c r="I240" s="7"/>
    </row>
    <row r="241" spans="2:9" s="156" customFormat="1" x14ac:dyDescent="0.3">
      <c r="B241" s="7"/>
      <c r="C241" s="7"/>
      <c r="D241" s="7"/>
      <c r="E241" s="361"/>
      <c r="F241" s="361"/>
      <c r="G241" s="361"/>
      <c r="H241" s="361"/>
      <c r="I241" s="7"/>
    </row>
    <row r="242" spans="2:9" s="156" customFormat="1" x14ac:dyDescent="0.3">
      <c r="B242" s="7"/>
      <c r="C242" s="7"/>
      <c r="D242" s="7"/>
      <c r="E242" s="359"/>
      <c r="F242" s="359"/>
      <c r="G242" s="359"/>
      <c r="H242" s="359"/>
      <c r="I242" s="7"/>
    </row>
    <row r="243" spans="2:9" s="156" customFormat="1" x14ac:dyDescent="0.3">
      <c r="B243" s="7"/>
      <c r="C243" s="7"/>
      <c r="D243" s="7"/>
      <c r="E243" s="7"/>
      <c r="F243" s="7"/>
      <c r="G243" s="7"/>
      <c r="H243" s="7"/>
      <c r="I243" s="7"/>
    </row>
    <row r="244" spans="2:9" s="156" customFormat="1" x14ac:dyDescent="0.3">
      <c r="B244" s="7"/>
      <c r="C244" s="15"/>
      <c r="D244" s="15"/>
      <c r="E244" s="15"/>
      <c r="F244" s="15"/>
      <c r="G244" s="15"/>
      <c r="H244" s="15"/>
      <c r="I244" s="7"/>
    </row>
    <row r="245" spans="2:9" s="156" customFormat="1" x14ac:dyDescent="0.3">
      <c r="B245" s="7"/>
      <c r="C245" s="15"/>
      <c r="D245" s="15"/>
      <c r="E245" s="15"/>
      <c r="F245" s="15"/>
      <c r="G245" s="15"/>
      <c r="H245" s="15"/>
      <c r="I245" s="7"/>
    </row>
    <row r="246" spans="2:9" s="156" customFormat="1" x14ac:dyDescent="0.3">
      <c r="B246" s="7"/>
      <c r="C246" s="15"/>
      <c r="D246" s="15"/>
      <c r="E246" s="15"/>
      <c r="F246" s="15"/>
      <c r="G246" s="15"/>
      <c r="H246" s="15"/>
      <c r="I246" s="7"/>
    </row>
    <row r="247" spans="2:9" s="156" customFormat="1" x14ac:dyDescent="0.3">
      <c r="B247" s="7"/>
      <c r="C247" s="7"/>
      <c r="D247" s="7"/>
      <c r="E247" s="361"/>
      <c r="F247" s="361"/>
      <c r="G247" s="361"/>
      <c r="H247" s="361"/>
      <c r="I247" s="7"/>
    </row>
    <row r="248" spans="2:9" s="156" customFormat="1" x14ac:dyDescent="0.3">
      <c r="B248" s="7"/>
      <c r="C248" s="7"/>
      <c r="D248" s="7"/>
      <c r="E248" s="359"/>
      <c r="F248" s="359"/>
      <c r="G248" s="359"/>
      <c r="H248" s="359"/>
      <c r="I248" s="7"/>
    </row>
    <row r="249" spans="2:9" s="156" customFormat="1" x14ac:dyDescent="0.3">
      <c r="B249" s="7"/>
      <c r="C249" s="7"/>
      <c r="D249" s="7"/>
      <c r="E249" s="7"/>
      <c r="F249" s="7"/>
      <c r="G249" s="7"/>
      <c r="H249" s="7"/>
      <c r="I249" s="7"/>
    </row>
    <row r="250" spans="2:9" s="156" customFormat="1" x14ac:dyDescent="0.3">
      <c r="B250" s="7"/>
      <c r="C250" s="15"/>
      <c r="D250" s="15"/>
      <c r="E250" s="7"/>
      <c r="F250" s="7"/>
      <c r="G250" s="7"/>
      <c r="H250" s="7"/>
      <c r="I250" s="7"/>
    </row>
    <row r="251" spans="2:9" s="156" customFormat="1" x14ac:dyDescent="0.3">
      <c r="B251" s="7"/>
      <c r="C251" s="15"/>
      <c r="D251" s="15"/>
      <c r="E251" s="359"/>
      <c r="F251" s="359"/>
      <c r="G251" s="359"/>
      <c r="H251" s="359"/>
      <c r="I251" s="7"/>
    </row>
    <row r="252" spans="2:9" s="156" customFormat="1" x14ac:dyDescent="0.3">
      <c r="B252" s="7"/>
      <c r="C252" s="7"/>
      <c r="D252" s="7"/>
      <c r="E252" s="359"/>
      <c r="F252" s="359"/>
      <c r="G252" s="359"/>
      <c r="H252" s="359"/>
      <c r="I252" s="7"/>
    </row>
    <row r="253" spans="2:9" s="156" customFormat="1" x14ac:dyDescent="0.3">
      <c r="B253" s="7"/>
      <c r="C253" s="18"/>
      <c r="D253" s="7"/>
      <c r="E253" s="18"/>
      <c r="F253" s="18"/>
      <c r="G253" s="18"/>
      <c r="H253" s="18"/>
      <c r="I253" s="7"/>
    </row>
    <row r="254" spans="2:9" s="156" customFormat="1" x14ac:dyDescent="0.3">
      <c r="B254" s="7"/>
      <c r="C254" s="18"/>
      <c r="D254" s="18"/>
      <c r="E254" s="18"/>
      <c r="F254" s="18"/>
      <c r="G254" s="18"/>
      <c r="H254" s="18"/>
      <c r="I254" s="6"/>
    </row>
  </sheetData>
  <mergeCells count="125">
    <mergeCell ref="J127:K129"/>
    <mergeCell ref="J192:J198"/>
    <mergeCell ref="J202:J203"/>
    <mergeCell ref="C233:G233"/>
    <mergeCell ref="C234:G234"/>
    <mergeCell ref="C222:C227"/>
    <mergeCell ref="F222:F227"/>
    <mergeCell ref="G222:G227"/>
    <mergeCell ref="C228:C231"/>
    <mergeCell ref="F228:F231"/>
    <mergeCell ref="G228:G231"/>
    <mergeCell ref="C218:C219"/>
    <mergeCell ref="F218:F219"/>
    <mergeCell ref="G218:G219"/>
    <mergeCell ref="C220:C221"/>
    <mergeCell ref="F220:F221"/>
    <mergeCell ref="G220:G221"/>
    <mergeCell ref="C204:C211"/>
    <mergeCell ref="G204:G211"/>
    <mergeCell ref="C212:C217"/>
    <mergeCell ref="F212:F217"/>
    <mergeCell ref="G212:G217"/>
    <mergeCell ref="C192:C198"/>
    <mergeCell ref="G192:G198"/>
    <mergeCell ref="C200:C201"/>
    <mergeCell ref="G200:G201"/>
    <mergeCell ref="C202:C203"/>
    <mergeCell ref="G202:G203"/>
    <mergeCell ref="C179:C180"/>
    <mergeCell ref="G179:G180"/>
    <mergeCell ref="C181:C186"/>
    <mergeCell ref="G181:G186"/>
    <mergeCell ref="C189:C191"/>
    <mergeCell ref="F189:F191"/>
    <mergeCell ref="G189:G191"/>
    <mergeCell ref="C171:C172"/>
    <mergeCell ref="F171:F172"/>
    <mergeCell ref="G171:G172"/>
    <mergeCell ref="C173:C178"/>
    <mergeCell ref="F173:F178"/>
    <mergeCell ref="G173:G178"/>
    <mergeCell ref="C161:C164"/>
    <mergeCell ref="F161:F164"/>
    <mergeCell ref="G161:G164"/>
    <mergeCell ref="C165:C170"/>
    <mergeCell ref="F165:F166"/>
    <mergeCell ref="G165:G170"/>
    <mergeCell ref="C148:C151"/>
    <mergeCell ref="G148:G151"/>
    <mergeCell ref="C152:C153"/>
    <mergeCell ref="F152:F153"/>
    <mergeCell ref="G152:G153"/>
    <mergeCell ref="C154:C160"/>
    <mergeCell ref="G154:G160"/>
    <mergeCell ref="C142:C144"/>
    <mergeCell ref="F142:F144"/>
    <mergeCell ref="G142:G144"/>
    <mergeCell ref="C146:C147"/>
    <mergeCell ref="G146:G147"/>
    <mergeCell ref="C136:C137"/>
    <mergeCell ref="G136:G137"/>
    <mergeCell ref="C138:C141"/>
    <mergeCell ref="G138:G141"/>
    <mergeCell ref="C127:C130"/>
    <mergeCell ref="G127:G130"/>
    <mergeCell ref="F128:F129"/>
    <mergeCell ref="C132:C135"/>
    <mergeCell ref="G132:G135"/>
    <mergeCell ref="F133:F135"/>
    <mergeCell ref="C102:C104"/>
    <mergeCell ref="F102:F104"/>
    <mergeCell ref="G102:G104"/>
    <mergeCell ref="C120:C122"/>
    <mergeCell ref="F120:F122"/>
    <mergeCell ref="G120:G122"/>
    <mergeCell ref="C124:C126"/>
    <mergeCell ref="F124:F126"/>
    <mergeCell ref="G124:G126"/>
    <mergeCell ref="C112:C114"/>
    <mergeCell ref="D112:D114"/>
    <mergeCell ref="E112:E114"/>
    <mergeCell ref="F112:F114"/>
    <mergeCell ref="G112:G114"/>
    <mergeCell ref="C117:C119"/>
    <mergeCell ref="F117:F119"/>
    <mergeCell ref="G117:G119"/>
    <mergeCell ref="J154:J160"/>
    <mergeCell ref="J165:J170"/>
    <mergeCell ref="C3:H3"/>
    <mergeCell ref="B4:H4"/>
    <mergeCell ref="C5:H5"/>
    <mergeCell ref="C6:F6"/>
    <mergeCell ref="C8:D8"/>
    <mergeCell ref="C9:H9"/>
    <mergeCell ref="C82:C87"/>
    <mergeCell ref="F82:F87"/>
    <mergeCell ref="G82:G87"/>
    <mergeCell ref="C89:C91"/>
    <mergeCell ref="F89:F91"/>
    <mergeCell ref="G89:G91"/>
    <mergeCell ref="C71:H71"/>
    <mergeCell ref="C72:H72"/>
    <mergeCell ref="C73:H73"/>
    <mergeCell ref="C75:D75"/>
    <mergeCell ref="C105:C106"/>
    <mergeCell ref="F105:F106"/>
    <mergeCell ref="G105:G106"/>
    <mergeCell ref="C107:C111"/>
    <mergeCell ref="F107:F111"/>
    <mergeCell ref="G107:G111"/>
    <mergeCell ref="J6:L8"/>
    <mergeCell ref="C76:E76"/>
    <mergeCell ref="C80:C81"/>
    <mergeCell ref="F80:F81"/>
    <mergeCell ref="G80:G81"/>
    <mergeCell ref="C98:C100"/>
    <mergeCell ref="F98:F100"/>
    <mergeCell ref="C92:C94"/>
    <mergeCell ref="F92:F94"/>
    <mergeCell ref="G92:G94"/>
    <mergeCell ref="C95:C97"/>
    <mergeCell ref="F95:F97"/>
    <mergeCell ref="G95:G97"/>
    <mergeCell ref="G98:G100"/>
    <mergeCell ref="J82:J85"/>
  </mergeCells>
  <dataValidations disablePrompts="1" count="2">
    <dataValidation type="whole" allowBlank="1" showInputMessage="1" showErrorMessage="1" sqref="E247:H247 E241:H241">
      <formula1>-999999999</formula1>
      <formula2>999999999</formula2>
    </dataValidation>
    <dataValidation type="list" allowBlank="1" showInputMessage="1" showErrorMessage="1" sqref="E251:H251">
      <formula1>#REF!</formula1>
    </dataValidation>
  </dataValidations>
  <pageMargins left="0.2" right="0.21" top="0.17" bottom="0.17" header="0.17" footer="0.17"/>
  <pageSetup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pageSetUpPr fitToPage="1"/>
  </sheetPr>
  <dimension ref="B1:K61"/>
  <sheetViews>
    <sheetView tabSelected="1" zoomScale="80" zoomScaleNormal="80" workbookViewId="0">
      <selection activeCell="C25" sqref="C25"/>
    </sheetView>
  </sheetViews>
  <sheetFormatPr defaultColWidth="9.08984375" defaultRowHeight="14" x14ac:dyDescent="0.3"/>
  <cols>
    <col min="1" max="2" width="1.90625" style="13" customWidth="1"/>
    <col min="3" max="4" width="22.90625" style="13" customWidth="1"/>
    <col min="5" max="5" width="42.6328125" style="13" customWidth="1"/>
    <col min="6" max="6" width="96.08984375" style="13" customWidth="1"/>
    <col min="7" max="7" width="2" style="13" customWidth="1"/>
    <col min="8" max="8" width="1.54296875" style="13" customWidth="1"/>
    <col min="9" max="16384" width="9.08984375" style="13"/>
  </cols>
  <sheetData>
    <row r="1" spans="2:11" ht="14.5" thickBot="1" x14ac:dyDescent="0.35"/>
    <row r="2" spans="2:11" ht="14.5" thickBot="1" x14ac:dyDescent="0.35">
      <c r="B2" s="69"/>
      <c r="C2" s="38"/>
      <c r="D2" s="38"/>
      <c r="E2" s="38"/>
      <c r="F2" s="38"/>
      <c r="G2" s="39"/>
    </row>
    <row r="3" spans="2:11" ht="14.5" thickBot="1" x14ac:dyDescent="0.35">
      <c r="B3" s="70"/>
      <c r="C3" s="1177" t="s">
        <v>474</v>
      </c>
      <c r="D3" s="1178"/>
      <c r="E3" s="1178"/>
      <c r="F3" s="1179"/>
      <c r="G3" s="205"/>
    </row>
    <row r="4" spans="2:11" x14ac:dyDescent="0.3">
      <c r="B4" s="1180"/>
      <c r="C4" s="1181"/>
      <c r="D4" s="1181"/>
      <c r="E4" s="1181"/>
      <c r="F4" s="1181"/>
      <c r="G4" s="205"/>
    </row>
    <row r="5" spans="2:11" x14ac:dyDescent="0.3">
      <c r="B5" s="206"/>
      <c r="C5" s="1182"/>
      <c r="D5" s="1182"/>
      <c r="E5" s="1182"/>
      <c r="F5" s="1182"/>
      <c r="G5" s="205"/>
    </row>
    <row r="6" spans="2:11" x14ac:dyDescent="0.3">
      <c r="B6" s="206"/>
      <c r="C6" s="49"/>
      <c r="D6" s="189"/>
      <c r="E6" s="49"/>
      <c r="F6" s="189"/>
      <c r="G6" s="205"/>
    </row>
    <row r="7" spans="2:11" x14ac:dyDescent="0.3">
      <c r="B7" s="206"/>
      <c r="C7" s="1183" t="s">
        <v>475</v>
      </c>
      <c r="D7" s="1183"/>
      <c r="E7" s="207"/>
      <c r="F7" s="189"/>
      <c r="G7" s="205"/>
    </row>
    <row r="8" spans="2:11" ht="14.5" thickBot="1" x14ac:dyDescent="0.35">
      <c r="B8" s="206"/>
      <c r="C8" s="1157" t="s">
        <v>476</v>
      </c>
      <c r="D8" s="1157"/>
      <c r="E8" s="1157"/>
      <c r="F8" s="1157"/>
      <c r="G8" s="205"/>
    </row>
    <row r="9" spans="2:11" ht="14.5" thickBot="1" x14ac:dyDescent="0.35">
      <c r="B9" s="206"/>
      <c r="C9" s="208" t="s">
        <v>477</v>
      </c>
      <c r="D9" s="209" t="s">
        <v>478</v>
      </c>
      <c r="E9" s="1162" t="s">
        <v>479</v>
      </c>
      <c r="F9" s="1163"/>
      <c r="G9" s="205"/>
    </row>
    <row r="10" spans="2:11" ht="155.25" customHeight="1" x14ac:dyDescent="0.3">
      <c r="B10" s="206"/>
      <c r="C10" s="469" t="s">
        <v>480</v>
      </c>
      <c r="D10" s="470" t="s">
        <v>481</v>
      </c>
      <c r="E10" s="1164" t="s">
        <v>1610</v>
      </c>
      <c r="F10" s="1165"/>
      <c r="G10" s="205"/>
    </row>
    <row r="11" spans="2:11" ht="324" customHeight="1" x14ac:dyDescent="0.3">
      <c r="B11" s="206"/>
      <c r="C11" s="953" t="s">
        <v>1615</v>
      </c>
      <c r="D11" s="472" t="s">
        <v>482</v>
      </c>
      <c r="E11" s="1166" t="s">
        <v>1624</v>
      </c>
      <c r="F11" s="1166"/>
      <c r="G11" s="205"/>
    </row>
    <row r="12" spans="2:11" ht="311" customHeight="1" x14ac:dyDescent="0.3">
      <c r="B12" s="206"/>
      <c r="C12" s="964" t="s">
        <v>1616</v>
      </c>
      <c r="D12" s="472" t="s">
        <v>494</v>
      </c>
      <c r="E12" s="1167" t="s">
        <v>1057</v>
      </c>
      <c r="F12" s="1167"/>
      <c r="G12" s="205"/>
    </row>
    <row r="13" spans="2:11" ht="339.75" customHeight="1" x14ac:dyDescent="0.3">
      <c r="B13" s="206"/>
      <c r="C13" s="471" t="s">
        <v>483</v>
      </c>
      <c r="D13" s="472" t="s">
        <v>494</v>
      </c>
      <c r="E13" s="1168" t="s">
        <v>1617</v>
      </c>
      <c r="F13" s="1168"/>
      <c r="G13" s="205"/>
    </row>
    <row r="14" spans="2:11" ht="168" x14ac:dyDescent="0.3">
      <c r="B14" s="206"/>
      <c r="C14" s="473" t="s">
        <v>485</v>
      </c>
      <c r="D14" s="472" t="s">
        <v>484</v>
      </c>
      <c r="E14" s="1167" t="s">
        <v>1632</v>
      </c>
      <c r="F14" s="1167"/>
      <c r="G14" s="205"/>
    </row>
    <row r="15" spans="2:11" ht="158.25" customHeight="1" x14ac:dyDescent="0.3">
      <c r="B15" s="206"/>
      <c r="C15" s="471" t="s">
        <v>486</v>
      </c>
      <c r="D15" s="472" t="s">
        <v>487</v>
      </c>
      <c r="E15" s="1150" t="s">
        <v>1549</v>
      </c>
      <c r="F15" s="1150"/>
      <c r="G15" s="205"/>
      <c r="K15" s="13" t="s">
        <v>488</v>
      </c>
    </row>
    <row r="16" spans="2:11" ht="135" customHeight="1" x14ac:dyDescent="0.3">
      <c r="B16" s="206"/>
      <c r="C16" s="471" t="s">
        <v>489</v>
      </c>
      <c r="D16" s="472" t="s">
        <v>494</v>
      </c>
      <c r="E16" s="1169" t="s">
        <v>1633</v>
      </c>
      <c r="F16" s="1170"/>
      <c r="G16" s="205"/>
    </row>
    <row r="17" spans="2:11" ht="90.75" customHeight="1" x14ac:dyDescent="0.3">
      <c r="B17" s="206"/>
      <c r="C17" s="474" t="s">
        <v>895</v>
      </c>
      <c r="D17" s="475" t="s">
        <v>498</v>
      </c>
      <c r="E17" s="1171" t="s">
        <v>1619</v>
      </c>
      <c r="F17" s="1172"/>
      <c r="G17" s="205"/>
    </row>
    <row r="18" spans="2:11" ht="176.25" customHeight="1" thickBot="1" x14ac:dyDescent="0.35">
      <c r="B18" s="206"/>
      <c r="C18" s="291" t="s">
        <v>490</v>
      </c>
      <c r="D18" s="292" t="s">
        <v>482</v>
      </c>
      <c r="E18" s="1173" t="s">
        <v>1550</v>
      </c>
      <c r="F18" s="1174"/>
      <c r="G18" s="205"/>
    </row>
    <row r="19" spans="2:11" x14ac:dyDescent="0.3">
      <c r="B19" s="206"/>
      <c r="C19" s="189"/>
      <c r="D19" s="189"/>
      <c r="E19" s="189"/>
      <c r="F19" s="189"/>
      <c r="G19" s="205"/>
    </row>
    <row r="20" spans="2:11" x14ac:dyDescent="0.3">
      <c r="B20" s="206"/>
      <c r="C20" s="1175" t="s">
        <v>491</v>
      </c>
      <c r="D20" s="1175"/>
      <c r="E20" s="1175"/>
      <c r="F20" s="1175"/>
      <c r="G20" s="205"/>
    </row>
    <row r="21" spans="2:11" ht="14.5" thickBot="1" x14ac:dyDescent="0.35">
      <c r="B21" s="206"/>
      <c r="C21" s="1176" t="s">
        <v>492</v>
      </c>
      <c r="D21" s="1176"/>
      <c r="E21" s="1176"/>
      <c r="F21" s="1176"/>
      <c r="G21" s="205"/>
    </row>
    <row r="22" spans="2:11" ht="14.5" thickBot="1" x14ac:dyDescent="0.35">
      <c r="B22" s="206"/>
      <c r="C22" s="208" t="s">
        <v>477</v>
      </c>
      <c r="D22" s="209" t="s">
        <v>478</v>
      </c>
      <c r="E22" s="1162" t="s">
        <v>479</v>
      </c>
      <c r="F22" s="1163"/>
      <c r="G22" s="205"/>
    </row>
    <row r="23" spans="2:11" ht="78.75" customHeight="1" x14ac:dyDescent="0.3">
      <c r="B23" s="206"/>
      <c r="C23" s="469" t="s">
        <v>493</v>
      </c>
      <c r="D23" s="214" t="s">
        <v>494</v>
      </c>
      <c r="E23" s="1149" t="s">
        <v>1551</v>
      </c>
      <c r="F23" s="1149"/>
      <c r="G23" s="205"/>
    </row>
    <row r="24" spans="2:11" ht="98.25" customHeight="1" x14ac:dyDescent="0.3">
      <c r="B24" s="206"/>
      <c r="C24" s="473" t="s">
        <v>495</v>
      </c>
      <c r="D24" s="476" t="s">
        <v>484</v>
      </c>
      <c r="E24" s="1150" t="s">
        <v>1552</v>
      </c>
      <c r="F24" s="1150"/>
      <c r="G24" s="205"/>
    </row>
    <row r="25" spans="2:11" ht="157.5" customHeight="1" thickBot="1" x14ac:dyDescent="0.35">
      <c r="B25" s="206"/>
      <c r="C25" s="474" t="s">
        <v>1058</v>
      </c>
      <c r="D25" s="215" t="s">
        <v>496</v>
      </c>
      <c r="E25" s="1151" t="s">
        <v>1620</v>
      </c>
      <c r="F25" s="1151"/>
      <c r="G25" s="205"/>
      <c r="J25" s="14"/>
      <c r="K25" s="528"/>
    </row>
    <row r="26" spans="2:11" ht="168.75" customHeight="1" thickBot="1" x14ac:dyDescent="0.35">
      <c r="B26" s="206"/>
      <c r="C26" s="291" t="s">
        <v>497</v>
      </c>
      <c r="D26" s="216" t="s">
        <v>498</v>
      </c>
      <c r="E26" s="1152" t="s">
        <v>1553</v>
      </c>
      <c r="F26" s="1152"/>
      <c r="G26" s="205"/>
    </row>
    <row r="27" spans="2:11" ht="162.75" customHeight="1" thickBot="1" x14ac:dyDescent="0.35">
      <c r="B27" s="206"/>
      <c r="C27" s="235" t="s">
        <v>1059</v>
      </c>
      <c r="D27" s="216" t="s">
        <v>498</v>
      </c>
      <c r="E27" s="1153" t="s">
        <v>1621</v>
      </c>
      <c r="F27" s="1153"/>
      <c r="G27" s="205"/>
      <c r="K27" s="14"/>
    </row>
    <row r="28" spans="2:11" ht="141" customHeight="1" thickBot="1" x14ac:dyDescent="0.35">
      <c r="B28" s="206"/>
      <c r="C28" s="234" t="s">
        <v>1061</v>
      </c>
      <c r="D28" s="216" t="s">
        <v>498</v>
      </c>
      <c r="E28" s="1152" t="s">
        <v>1060</v>
      </c>
      <c r="F28" s="1152"/>
      <c r="G28" s="205"/>
      <c r="J28" s="14"/>
    </row>
    <row r="29" spans="2:11" ht="141" customHeight="1" thickBot="1" x14ac:dyDescent="0.35">
      <c r="B29" s="206"/>
      <c r="C29" s="236" t="s">
        <v>499</v>
      </c>
      <c r="D29" s="216" t="s">
        <v>494</v>
      </c>
      <c r="E29" s="1154" t="s">
        <v>1622</v>
      </c>
      <c r="F29" s="1155"/>
      <c r="G29" s="205"/>
      <c r="J29" s="14"/>
    </row>
    <row r="30" spans="2:11" x14ac:dyDescent="0.3">
      <c r="B30" s="206"/>
      <c r="C30" s="189"/>
      <c r="D30" s="189"/>
      <c r="E30" s="189"/>
      <c r="F30" s="189"/>
      <c r="G30" s="205"/>
    </row>
    <row r="31" spans="2:11" x14ac:dyDescent="0.3">
      <c r="B31" s="206"/>
      <c r="C31" s="189"/>
      <c r="D31" s="189"/>
      <c r="E31" s="189"/>
      <c r="F31" s="189"/>
      <c r="G31" s="205"/>
    </row>
    <row r="32" spans="2:11" ht="31.5" customHeight="1" x14ac:dyDescent="0.3">
      <c r="B32" s="206"/>
      <c r="C32" s="1156" t="s">
        <v>500</v>
      </c>
      <c r="D32" s="1156"/>
      <c r="E32" s="1156"/>
      <c r="F32" s="1156"/>
      <c r="G32" s="205"/>
    </row>
    <row r="33" spans="2:7" ht="14.5" thickBot="1" x14ac:dyDescent="0.35">
      <c r="B33" s="206"/>
      <c r="C33" s="1157" t="s">
        <v>501</v>
      </c>
      <c r="D33" s="1157"/>
      <c r="E33" s="1158"/>
      <c r="F33" s="1158"/>
      <c r="G33" s="205"/>
    </row>
    <row r="34" spans="2:7" ht="224.25" customHeight="1" thickBot="1" x14ac:dyDescent="0.35">
      <c r="B34" s="206"/>
      <c r="C34" s="1159" t="s">
        <v>1623</v>
      </c>
      <c r="D34" s="1160"/>
      <c r="E34" s="1160"/>
      <c r="F34" s="1161"/>
      <c r="G34" s="205"/>
    </row>
    <row r="35" spans="2:7" x14ac:dyDescent="0.3">
      <c r="B35" s="206"/>
      <c r="C35" s="189"/>
      <c r="D35" s="189"/>
      <c r="E35" s="189"/>
      <c r="F35" s="189"/>
      <c r="G35" s="205"/>
    </row>
    <row r="36" spans="2:7" x14ac:dyDescent="0.3">
      <c r="B36" s="206"/>
      <c r="C36" s="189"/>
      <c r="D36" s="189"/>
      <c r="E36" s="189"/>
      <c r="F36" s="189"/>
      <c r="G36" s="205"/>
    </row>
    <row r="37" spans="2:7" x14ac:dyDescent="0.3">
      <c r="B37" s="206"/>
      <c r="C37" s="189"/>
      <c r="D37" s="189"/>
      <c r="E37" s="189"/>
      <c r="F37" s="189"/>
      <c r="G37" s="205"/>
    </row>
    <row r="38" spans="2:7" ht="14.5" thickBot="1" x14ac:dyDescent="0.35">
      <c r="B38" s="210"/>
      <c r="C38" s="192"/>
      <c r="D38" s="192"/>
      <c r="E38" s="192"/>
      <c r="F38" s="192"/>
      <c r="G38" s="211"/>
    </row>
    <row r="39" spans="2:7" x14ac:dyDescent="0.3">
      <c r="B39" s="454"/>
      <c r="C39" s="454"/>
      <c r="D39" s="454"/>
      <c r="E39" s="454"/>
      <c r="F39" s="454"/>
      <c r="G39" s="454"/>
    </row>
    <row r="40" spans="2:7" x14ac:dyDescent="0.3">
      <c r="B40" s="454"/>
      <c r="C40" s="454"/>
      <c r="D40" s="454"/>
      <c r="E40" s="454"/>
      <c r="F40" s="454"/>
      <c r="G40" s="454"/>
    </row>
    <row r="41" spans="2:7" x14ac:dyDescent="0.3">
      <c r="B41" s="454"/>
      <c r="C41" s="454"/>
      <c r="D41" s="454"/>
      <c r="E41" s="454"/>
      <c r="F41" s="454"/>
      <c r="G41" s="454"/>
    </row>
    <row r="42" spans="2:7" x14ac:dyDescent="0.3">
      <c r="B42" s="454"/>
      <c r="C42" s="454"/>
      <c r="D42" s="454"/>
      <c r="E42" s="454"/>
      <c r="F42" s="454"/>
      <c r="G42" s="454"/>
    </row>
    <row r="43" spans="2:7" x14ac:dyDescent="0.3">
      <c r="B43" s="454"/>
      <c r="C43" s="454"/>
      <c r="D43" s="454"/>
      <c r="E43" s="454"/>
      <c r="F43" s="454"/>
      <c r="G43" s="454"/>
    </row>
    <row r="44" spans="2:7" x14ac:dyDescent="0.3">
      <c r="B44" s="454"/>
      <c r="C44" s="454"/>
      <c r="D44" s="454"/>
      <c r="E44" s="454"/>
      <c r="F44" s="454"/>
      <c r="G44" s="454"/>
    </row>
    <row r="45" spans="2:7" x14ac:dyDescent="0.3">
      <c r="B45" s="454"/>
      <c r="C45" s="1144"/>
      <c r="D45" s="1144"/>
      <c r="E45" s="455"/>
      <c r="F45" s="454"/>
      <c r="G45" s="454"/>
    </row>
    <row r="46" spans="2:7" x14ac:dyDescent="0.3">
      <c r="B46" s="454"/>
      <c r="C46" s="1144"/>
      <c r="D46" s="1144"/>
      <c r="E46" s="455"/>
      <c r="F46" s="454"/>
      <c r="G46" s="454"/>
    </row>
    <row r="47" spans="2:7" x14ac:dyDescent="0.3">
      <c r="B47" s="454"/>
      <c r="C47" s="1146"/>
      <c r="D47" s="1146"/>
      <c r="E47" s="1146"/>
      <c r="F47" s="1146"/>
      <c r="G47" s="454"/>
    </row>
    <row r="48" spans="2:7" x14ac:dyDescent="0.3">
      <c r="B48" s="454"/>
      <c r="C48" s="1146"/>
      <c r="D48" s="1146"/>
      <c r="E48" s="1147"/>
      <c r="F48" s="1147"/>
      <c r="G48" s="454"/>
    </row>
    <row r="49" spans="2:7" x14ac:dyDescent="0.3">
      <c r="B49" s="454"/>
      <c r="C49" s="1146"/>
      <c r="D49" s="1146"/>
      <c r="E49" s="1145"/>
      <c r="F49" s="1145"/>
      <c r="G49" s="454"/>
    </row>
    <row r="50" spans="2:7" x14ac:dyDescent="0.3">
      <c r="B50" s="454"/>
      <c r="C50" s="454"/>
      <c r="D50" s="454"/>
      <c r="E50" s="454"/>
      <c r="F50" s="454"/>
      <c r="G50" s="454"/>
    </row>
    <row r="51" spans="2:7" x14ac:dyDescent="0.3">
      <c r="B51" s="454"/>
      <c r="C51" s="1144"/>
      <c r="D51" s="1144"/>
      <c r="E51" s="455"/>
      <c r="F51" s="454"/>
      <c r="G51" s="454"/>
    </row>
    <row r="52" spans="2:7" x14ac:dyDescent="0.3">
      <c r="B52" s="454"/>
      <c r="C52" s="1144"/>
      <c r="D52" s="1144"/>
      <c r="E52" s="1148"/>
      <c r="F52" s="1148"/>
      <c r="G52" s="454"/>
    </row>
    <row r="53" spans="2:7" x14ac:dyDescent="0.3">
      <c r="B53" s="454"/>
      <c r="C53" s="455"/>
      <c r="D53" s="455"/>
      <c r="E53" s="455"/>
      <c r="F53" s="455"/>
      <c r="G53" s="454"/>
    </row>
    <row r="54" spans="2:7" x14ac:dyDescent="0.3">
      <c r="B54" s="454"/>
      <c r="C54" s="1146"/>
      <c r="D54" s="1146"/>
      <c r="E54" s="1147"/>
      <c r="F54" s="1147"/>
      <c r="G54" s="454"/>
    </row>
    <row r="55" spans="2:7" x14ac:dyDescent="0.3">
      <c r="B55" s="454"/>
      <c r="C55" s="1146"/>
      <c r="D55" s="1146"/>
      <c r="E55" s="1145"/>
      <c r="F55" s="1145"/>
      <c r="G55" s="454"/>
    </row>
    <row r="56" spans="2:7" x14ac:dyDescent="0.3">
      <c r="B56" s="454"/>
      <c r="C56" s="454"/>
      <c r="D56" s="454"/>
      <c r="E56" s="454"/>
      <c r="F56" s="454"/>
      <c r="G56" s="454"/>
    </row>
    <row r="57" spans="2:7" x14ac:dyDescent="0.3">
      <c r="B57" s="454"/>
      <c r="C57" s="1144"/>
      <c r="D57" s="1144"/>
      <c r="E57" s="454"/>
      <c r="F57" s="454"/>
      <c r="G57" s="454"/>
    </row>
    <row r="58" spans="2:7" x14ac:dyDescent="0.3">
      <c r="B58" s="454"/>
      <c r="C58" s="1144"/>
      <c r="D58" s="1144"/>
      <c r="E58" s="1145"/>
      <c r="F58" s="1145"/>
      <c r="G58" s="454"/>
    </row>
    <row r="59" spans="2:7" x14ac:dyDescent="0.3">
      <c r="B59" s="454"/>
      <c r="C59" s="1146"/>
      <c r="D59" s="1146"/>
      <c r="E59" s="1145"/>
      <c r="F59" s="1145"/>
      <c r="G59" s="454"/>
    </row>
    <row r="60" spans="2:7" x14ac:dyDescent="0.3">
      <c r="B60" s="454"/>
      <c r="C60" s="212"/>
      <c r="D60" s="454"/>
      <c r="E60" s="212"/>
      <c r="F60" s="454"/>
      <c r="G60" s="454"/>
    </row>
    <row r="61" spans="2:7" x14ac:dyDescent="0.3">
      <c r="B61" s="454"/>
      <c r="C61" s="212"/>
      <c r="D61" s="212"/>
      <c r="E61" s="212"/>
      <c r="F61" s="212"/>
      <c r="G61" s="213"/>
    </row>
  </sheetData>
  <mergeCells count="48">
    <mergeCell ref="E9:F9"/>
    <mergeCell ref="C3:F3"/>
    <mergeCell ref="B4:F4"/>
    <mergeCell ref="C5:F5"/>
    <mergeCell ref="C7:D7"/>
    <mergeCell ref="C8:F8"/>
    <mergeCell ref="E22:F22"/>
    <mergeCell ref="E10:F10"/>
    <mergeCell ref="E11:F11"/>
    <mergeCell ref="E12:F12"/>
    <mergeCell ref="E13:F13"/>
    <mergeCell ref="E14:F14"/>
    <mergeCell ref="E15:F15"/>
    <mergeCell ref="E16:F16"/>
    <mergeCell ref="E17:F17"/>
    <mergeCell ref="E18:F18"/>
    <mergeCell ref="C20:F20"/>
    <mergeCell ref="C21:F21"/>
    <mergeCell ref="C45:D45"/>
    <mergeCell ref="E23:F23"/>
    <mergeCell ref="E24:F24"/>
    <mergeCell ref="E25:F25"/>
    <mergeCell ref="E26:F26"/>
    <mergeCell ref="E27:F27"/>
    <mergeCell ref="E28:F28"/>
    <mergeCell ref="E29:F29"/>
    <mergeCell ref="C32:F32"/>
    <mergeCell ref="C33:D33"/>
    <mergeCell ref="E33:F33"/>
    <mergeCell ref="C34:F34"/>
    <mergeCell ref="C55:D55"/>
    <mergeCell ref="E55:F55"/>
    <mergeCell ref="C46:D46"/>
    <mergeCell ref="C47:F47"/>
    <mergeCell ref="C48:D48"/>
    <mergeCell ref="E48:F48"/>
    <mergeCell ref="C49:D49"/>
    <mergeCell ref="E49:F49"/>
    <mergeCell ref="C51:D51"/>
    <mergeCell ref="C52:D52"/>
    <mergeCell ref="E52:F52"/>
    <mergeCell ref="C54:D54"/>
    <mergeCell ref="E54:F54"/>
    <mergeCell ref="C57:D57"/>
    <mergeCell ref="C58:D58"/>
    <mergeCell ref="E58:F58"/>
    <mergeCell ref="C59:D59"/>
    <mergeCell ref="E59:F59"/>
  </mergeCells>
  <dataValidations count="2">
    <dataValidation type="list" allowBlank="1" showInputMessage="1" showErrorMessage="1" sqref="E58">
      <formula1>$K$65:$K$66</formula1>
    </dataValidation>
    <dataValidation type="whole" allowBlank="1" showInputMessage="1" showErrorMessage="1" sqref="E54 E48">
      <formula1>-999999999</formula1>
      <formula2>999999999</formula2>
    </dataValidation>
  </dataValidations>
  <pageMargins left="0.25" right="0.25" top="0.17" bottom="0.17" header="0.17" footer="0.17"/>
  <pageSetup scale="7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pageSetUpPr fitToPage="1"/>
  </sheetPr>
  <dimension ref="A1:L136"/>
  <sheetViews>
    <sheetView topLeftCell="C1" zoomScale="70" zoomScaleNormal="70" workbookViewId="0">
      <selection activeCell="C1" sqref="C1"/>
    </sheetView>
  </sheetViews>
  <sheetFormatPr defaultColWidth="9.08984375" defaultRowHeight="14" x14ac:dyDescent="0.3"/>
  <cols>
    <col min="1" max="1" width="2.08984375" style="13" customWidth="1"/>
    <col min="2" max="2" width="2.36328125" style="13" customWidth="1"/>
    <col min="3" max="3" width="22.54296875" style="12" customWidth="1"/>
    <col min="4" max="4" width="15.54296875" style="146" customWidth="1"/>
    <col min="5" max="5" width="15" style="146" customWidth="1"/>
    <col min="6" max="7" width="10.36328125" style="146" customWidth="1"/>
    <col min="8" max="8" width="204.453125" style="146" customWidth="1"/>
    <col min="9" max="9" width="13.90625" style="13" customWidth="1"/>
    <col min="10" max="10" width="2.6328125" style="13" customWidth="1"/>
    <col min="11" max="11" width="2" style="13" customWidth="1"/>
    <col min="12" max="16384" width="9.08984375" style="13"/>
  </cols>
  <sheetData>
    <row r="1" spans="1:12" ht="14.5" thickBot="1" x14ac:dyDescent="0.35">
      <c r="A1" s="447"/>
      <c r="H1" s="421"/>
      <c r="I1" s="19"/>
      <c r="L1" s="19"/>
    </row>
    <row r="2" spans="1:12" ht="14.5" thickBot="1" x14ac:dyDescent="0.35">
      <c r="B2" s="172"/>
      <c r="C2" s="173"/>
      <c r="D2" s="422"/>
      <c r="E2" s="422"/>
      <c r="F2" s="422"/>
      <c r="G2" s="422"/>
      <c r="H2" s="423"/>
      <c r="I2" s="158"/>
      <c r="J2" s="48"/>
      <c r="L2" s="19"/>
    </row>
    <row r="3" spans="1:12" ht="14.5" thickBot="1" x14ac:dyDescent="0.35">
      <c r="B3" s="70"/>
      <c r="C3" s="1177" t="s">
        <v>502</v>
      </c>
      <c r="D3" s="1178"/>
      <c r="E3" s="1178"/>
      <c r="F3" s="1178"/>
      <c r="G3" s="1178"/>
      <c r="H3" s="1178"/>
      <c r="I3" s="1179"/>
      <c r="J3" s="174"/>
      <c r="L3" s="19"/>
    </row>
    <row r="4" spans="1:12" ht="15" customHeight="1" x14ac:dyDescent="0.3">
      <c r="B4" s="175"/>
      <c r="C4" s="1230" t="s">
        <v>503</v>
      </c>
      <c r="D4" s="1230"/>
      <c r="E4" s="1230"/>
      <c r="F4" s="1230"/>
      <c r="G4" s="1230"/>
      <c r="H4" s="1230"/>
      <c r="I4" s="1230"/>
      <c r="J4" s="50"/>
      <c r="L4" s="19"/>
    </row>
    <row r="5" spans="1:12" ht="15" customHeight="1" x14ac:dyDescent="0.3">
      <c r="B5" s="175"/>
      <c r="C5" s="283"/>
      <c r="D5" s="424"/>
      <c r="E5" s="424"/>
      <c r="F5" s="424"/>
      <c r="G5" s="424"/>
      <c r="H5" s="424"/>
      <c r="I5" s="283"/>
      <c r="J5" s="50"/>
      <c r="L5" s="19"/>
    </row>
    <row r="6" spans="1:12" x14ac:dyDescent="0.3">
      <c r="B6" s="175"/>
      <c r="C6" s="176"/>
      <c r="D6" s="30"/>
      <c r="E6" s="30"/>
      <c r="F6" s="30"/>
      <c r="G6" s="30"/>
      <c r="H6" s="425"/>
      <c r="I6" s="159"/>
      <c r="J6" s="50"/>
      <c r="L6" s="19"/>
    </row>
    <row r="7" spans="1:12" ht="33" customHeight="1" thickBot="1" x14ac:dyDescent="0.35">
      <c r="B7" s="175"/>
      <c r="C7" s="176"/>
      <c r="D7" s="1212" t="s">
        <v>504</v>
      </c>
      <c r="E7" s="1212"/>
      <c r="F7" s="1212" t="s">
        <v>505</v>
      </c>
      <c r="G7" s="1212"/>
      <c r="H7" s="133" t="s">
        <v>506</v>
      </c>
      <c r="I7" s="177" t="s">
        <v>507</v>
      </c>
      <c r="J7" s="50"/>
      <c r="L7" s="19"/>
    </row>
    <row r="8" spans="1:12" s="12" customFormat="1" ht="276.75" customHeight="1" thickBot="1" x14ac:dyDescent="0.35">
      <c r="B8" s="178"/>
      <c r="C8" s="179" t="s">
        <v>508</v>
      </c>
      <c r="D8" s="1232" t="s">
        <v>509</v>
      </c>
      <c r="E8" s="1232"/>
      <c r="F8" s="1216" t="s">
        <v>510</v>
      </c>
      <c r="G8" s="1216"/>
      <c r="H8" s="426" t="s">
        <v>1611</v>
      </c>
      <c r="I8" s="180" t="s">
        <v>957</v>
      </c>
      <c r="J8" s="181"/>
      <c r="L8" s="19"/>
    </row>
    <row r="9" spans="1:12" s="12" customFormat="1" ht="131.25" customHeight="1" thickBot="1" x14ac:dyDescent="0.35">
      <c r="B9" s="178"/>
      <c r="C9" s="179"/>
      <c r="D9" s="1232" t="s">
        <v>511</v>
      </c>
      <c r="E9" s="1232"/>
      <c r="F9" s="1216"/>
      <c r="G9" s="1216"/>
      <c r="H9" s="426" t="s">
        <v>1612</v>
      </c>
      <c r="I9" s="180" t="s">
        <v>957</v>
      </c>
      <c r="J9" s="181"/>
      <c r="L9" s="19"/>
    </row>
    <row r="10" spans="1:12" s="12" customFormat="1" ht="181.5" customHeight="1" thickBot="1" x14ac:dyDescent="0.35">
      <c r="B10" s="178"/>
      <c r="C10" s="179"/>
      <c r="D10" s="1235" t="s">
        <v>512</v>
      </c>
      <c r="E10" s="1235"/>
      <c r="F10" s="1216"/>
      <c r="G10" s="1216"/>
      <c r="H10" s="426" t="s">
        <v>1554</v>
      </c>
      <c r="I10" s="180" t="s">
        <v>25</v>
      </c>
      <c r="J10" s="181"/>
      <c r="L10" s="19"/>
    </row>
    <row r="11" spans="1:12" s="12" customFormat="1" ht="99.75" customHeight="1" thickBot="1" x14ac:dyDescent="0.35">
      <c r="B11" s="178"/>
      <c r="C11" s="179"/>
      <c r="D11" s="1215" t="s">
        <v>513</v>
      </c>
      <c r="E11" s="1215"/>
      <c r="F11" s="1236" t="s">
        <v>514</v>
      </c>
      <c r="G11" s="1236"/>
      <c r="H11" s="1190" t="s">
        <v>1555</v>
      </c>
      <c r="I11" s="180" t="s">
        <v>25</v>
      </c>
      <c r="J11" s="181"/>
      <c r="L11" s="19"/>
    </row>
    <row r="12" spans="1:12" s="12" customFormat="1" ht="94.5" customHeight="1" thickBot="1" x14ac:dyDescent="0.35">
      <c r="B12" s="178"/>
      <c r="C12" s="179"/>
      <c r="D12" s="1215" t="s">
        <v>515</v>
      </c>
      <c r="E12" s="1215"/>
      <c r="F12" s="1216" t="s">
        <v>516</v>
      </c>
      <c r="G12" s="1216"/>
      <c r="H12" s="1191"/>
      <c r="I12" s="180" t="s">
        <v>25</v>
      </c>
      <c r="J12" s="181"/>
      <c r="L12" s="19"/>
    </row>
    <row r="13" spans="1:12" s="12" customFormat="1" ht="100.5" customHeight="1" thickBot="1" x14ac:dyDescent="0.35">
      <c r="B13" s="178"/>
      <c r="C13" s="179">
        <f>28+24+7</f>
        <v>59</v>
      </c>
      <c r="D13" s="1215" t="s">
        <v>517</v>
      </c>
      <c r="E13" s="1215"/>
      <c r="F13" s="1216" t="s">
        <v>518</v>
      </c>
      <c r="G13" s="1216"/>
      <c r="H13" s="1190" t="s">
        <v>1556</v>
      </c>
      <c r="I13" s="180" t="s">
        <v>957</v>
      </c>
      <c r="J13" s="181"/>
      <c r="L13" s="19"/>
    </row>
    <row r="14" spans="1:12" s="12" customFormat="1" ht="92.25" customHeight="1" thickBot="1" x14ac:dyDescent="0.35">
      <c r="B14" s="178"/>
      <c r="C14" s="179"/>
      <c r="D14" s="1215" t="s">
        <v>519</v>
      </c>
      <c r="E14" s="1215"/>
      <c r="F14" s="1216"/>
      <c r="G14" s="1216"/>
      <c r="H14" s="1191" t="s">
        <v>958</v>
      </c>
      <c r="I14" s="180" t="s">
        <v>957</v>
      </c>
      <c r="J14" s="181"/>
      <c r="L14" s="19"/>
    </row>
    <row r="15" spans="1:12" s="12" customFormat="1" ht="390" customHeight="1" x14ac:dyDescent="0.3">
      <c r="B15" s="178"/>
      <c r="C15" s="179"/>
      <c r="D15" s="1192" t="s">
        <v>520</v>
      </c>
      <c r="E15" s="1193"/>
      <c r="F15" s="1192" t="s">
        <v>521</v>
      </c>
      <c r="G15" s="1193"/>
      <c r="H15" s="1190" t="s">
        <v>1557</v>
      </c>
      <c r="I15" s="1196" t="s">
        <v>25</v>
      </c>
      <c r="J15" s="181"/>
      <c r="L15" s="19"/>
    </row>
    <row r="16" spans="1:12" s="12" customFormat="1" ht="165" customHeight="1" thickBot="1" x14ac:dyDescent="0.35">
      <c r="B16" s="178"/>
      <c r="C16" s="179"/>
      <c r="D16" s="1194"/>
      <c r="E16" s="1195"/>
      <c r="F16" s="1194"/>
      <c r="G16" s="1195"/>
      <c r="H16" s="1191"/>
      <c r="I16" s="1197"/>
      <c r="J16" s="181"/>
      <c r="L16" s="19"/>
    </row>
    <row r="17" spans="2:12" s="12" customFormat="1" ht="241.5" customHeight="1" x14ac:dyDescent="0.3">
      <c r="B17" s="178"/>
      <c r="C17" s="179"/>
      <c r="D17" s="1192" t="s">
        <v>522</v>
      </c>
      <c r="E17" s="1193"/>
      <c r="F17" s="1192" t="s">
        <v>523</v>
      </c>
      <c r="G17" s="1193"/>
      <c r="H17" s="1190" t="s">
        <v>1558</v>
      </c>
      <c r="I17" s="1198" t="s">
        <v>25</v>
      </c>
      <c r="J17" s="181"/>
      <c r="L17" s="19"/>
    </row>
    <row r="18" spans="2:12" s="12" customFormat="1" ht="333" customHeight="1" thickBot="1" x14ac:dyDescent="0.35">
      <c r="B18" s="178"/>
      <c r="C18" s="179"/>
      <c r="D18" s="1194"/>
      <c r="E18" s="1195"/>
      <c r="F18" s="1194"/>
      <c r="G18" s="1195"/>
      <c r="H18" s="1191"/>
      <c r="I18" s="1199"/>
      <c r="J18" s="181"/>
      <c r="L18" s="19"/>
    </row>
    <row r="19" spans="2:12" s="12" customFormat="1" ht="272.25" customHeight="1" thickBot="1" x14ac:dyDescent="0.35">
      <c r="B19" s="178"/>
      <c r="C19" s="179"/>
      <c r="D19" s="1237" t="s">
        <v>524</v>
      </c>
      <c r="E19" s="1237"/>
      <c r="F19" s="1237" t="s">
        <v>525</v>
      </c>
      <c r="G19" s="1237"/>
      <c r="H19" s="347" t="s">
        <v>1608</v>
      </c>
      <c r="I19" s="180" t="s">
        <v>25</v>
      </c>
      <c r="J19" s="181"/>
      <c r="L19" s="19"/>
    </row>
    <row r="20" spans="2:12" s="12" customFormat="1" ht="282.75" customHeight="1" thickBot="1" x14ac:dyDescent="0.35">
      <c r="B20" s="178"/>
      <c r="C20" s="179"/>
      <c r="D20" s="1215" t="s">
        <v>526</v>
      </c>
      <c r="E20" s="1215"/>
      <c r="F20" s="1216" t="s">
        <v>527</v>
      </c>
      <c r="G20" s="1216"/>
      <c r="H20" s="427" t="s">
        <v>1559</v>
      </c>
      <c r="I20" s="180" t="s">
        <v>957</v>
      </c>
      <c r="J20" s="181"/>
      <c r="L20" s="19"/>
    </row>
    <row r="21" spans="2:12" s="12" customFormat="1" ht="219.75" customHeight="1" thickBot="1" x14ac:dyDescent="0.35">
      <c r="B21" s="178"/>
      <c r="C21" s="179"/>
      <c r="D21" s="1215" t="s">
        <v>528</v>
      </c>
      <c r="E21" s="1215"/>
      <c r="F21" s="1216" t="s">
        <v>529</v>
      </c>
      <c r="G21" s="1216"/>
      <c r="H21" s="427" t="s">
        <v>1560</v>
      </c>
      <c r="I21" s="348" t="s">
        <v>25</v>
      </c>
      <c r="J21" s="181"/>
      <c r="L21" s="19"/>
    </row>
    <row r="22" spans="2:12" s="12" customFormat="1" ht="153" customHeight="1" thickBot="1" x14ac:dyDescent="0.35">
      <c r="B22" s="178"/>
      <c r="C22" s="179"/>
      <c r="D22" s="1215" t="s">
        <v>530</v>
      </c>
      <c r="E22" s="1215"/>
      <c r="F22" s="1238" t="s">
        <v>531</v>
      </c>
      <c r="G22" s="1239"/>
      <c r="H22" s="1190" t="s">
        <v>1561</v>
      </c>
      <c r="I22" s="180" t="s">
        <v>25</v>
      </c>
      <c r="J22" s="181"/>
      <c r="L22" s="19"/>
    </row>
    <row r="23" spans="2:12" s="12" customFormat="1" ht="153" customHeight="1" thickBot="1" x14ac:dyDescent="0.35">
      <c r="B23" s="178"/>
      <c r="C23" s="179"/>
      <c r="D23" s="1215" t="s">
        <v>532</v>
      </c>
      <c r="E23" s="1215"/>
      <c r="F23" s="1240"/>
      <c r="G23" s="1241"/>
      <c r="H23" s="1191" t="s">
        <v>1020</v>
      </c>
      <c r="I23" s="180" t="s">
        <v>957</v>
      </c>
      <c r="J23" s="181"/>
      <c r="L23" s="19"/>
    </row>
    <row r="24" spans="2:12" s="12" customFormat="1" ht="18.75" customHeight="1" thickBot="1" x14ac:dyDescent="0.35">
      <c r="B24" s="178"/>
      <c r="C24" s="182"/>
      <c r="D24" s="118"/>
      <c r="E24" s="118"/>
      <c r="F24" s="118"/>
      <c r="G24" s="118"/>
      <c r="H24" s="428" t="s">
        <v>533</v>
      </c>
      <c r="I24" s="184" t="s">
        <v>25</v>
      </c>
      <c r="J24" s="181"/>
      <c r="L24" s="19"/>
    </row>
    <row r="25" spans="2:12" s="12" customFormat="1" ht="18.75" customHeight="1" x14ac:dyDescent="0.3">
      <c r="B25" s="178"/>
      <c r="C25" s="182"/>
      <c r="D25" s="118"/>
      <c r="E25" s="118"/>
      <c r="F25" s="118"/>
      <c r="G25" s="118"/>
      <c r="H25" s="429"/>
      <c r="I25" s="176"/>
      <c r="J25" s="181"/>
      <c r="L25" s="19"/>
    </row>
    <row r="26" spans="2:12" s="12" customFormat="1" ht="14.5" thickBot="1" x14ac:dyDescent="0.35">
      <c r="B26" s="178"/>
      <c r="C26" s="182"/>
      <c r="D26" s="1234" t="s">
        <v>534</v>
      </c>
      <c r="E26" s="1234"/>
      <c r="F26" s="1234"/>
      <c r="G26" s="1234"/>
      <c r="H26" s="1234"/>
      <c r="I26" s="1234"/>
      <c r="J26" s="181"/>
      <c r="L26" s="19"/>
    </row>
    <row r="27" spans="2:12" s="12" customFormat="1" ht="14.5" thickBot="1" x14ac:dyDescent="0.35">
      <c r="B27" s="178"/>
      <c r="C27" s="182"/>
      <c r="D27" s="430" t="s">
        <v>81</v>
      </c>
      <c r="E27" s="1217" t="s">
        <v>535</v>
      </c>
      <c r="F27" s="1210"/>
      <c r="G27" s="1210"/>
      <c r="H27" s="1211"/>
      <c r="I27" s="183"/>
      <c r="J27" s="181"/>
      <c r="L27" s="19"/>
    </row>
    <row r="28" spans="2:12" s="12" customFormat="1" ht="14.5" thickBot="1" x14ac:dyDescent="0.35">
      <c r="B28" s="178"/>
      <c r="C28" s="182"/>
      <c r="D28" s="430" t="s">
        <v>84</v>
      </c>
      <c r="E28" s="1233" t="s">
        <v>103</v>
      </c>
      <c r="F28" s="1210"/>
      <c r="G28" s="1210"/>
      <c r="H28" s="1211"/>
      <c r="I28" s="183"/>
      <c r="J28" s="181"/>
      <c r="L28" s="19"/>
    </row>
    <row r="29" spans="2:12" s="12" customFormat="1" ht="13.5" customHeight="1" x14ac:dyDescent="0.3">
      <c r="B29" s="178"/>
      <c r="C29" s="182"/>
      <c r="D29" s="118"/>
      <c r="E29" s="118"/>
      <c r="F29" s="118"/>
      <c r="G29" s="118"/>
      <c r="H29" s="118"/>
      <c r="I29" s="183"/>
      <c r="J29" s="181"/>
      <c r="L29" s="19"/>
    </row>
    <row r="30" spans="2:12" s="12" customFormat="1" ht="30.75" customHeight="1" thickBot="1" x14ac:dyDescent="0.35">
      <c r="B30" s="178"/>
      <c r="C30" s="1231" t="s">
        <v>536</v>
      </c>
      <c r="D30" s="1231"/>
      <c r="E30" s="1231"/>
      <c r="F30" s="1231"/>
      <c r="G30" s="1231"/>
      <c r="H30" s="1231"/>
      <c r="I30" s="159"/>
      <c r="J30" s="181"/>
      <c r="L30" s="19"/>
    </row>
    <row r="31" spans="2:12" s="143" customFormat="1" ht="82.5" customHeight="1" x14ac:dyDescent="0.3">
      <c r="B31" s="185"/>
      <c r="C31" s="186"/>
      <c r="D31" s="1244" t="s">
        <v>1562</v>
      </c>
      <c r="E31" s="1245"/>
      <c r="F31" s="1245"/>
      <c r="G31" s="1245"/>
      <c r="H31" s="1245"/>
      <c r="I31" s="1246"/>
      <c r="J31" s="187"/>
      <c r="L31" s="19"/>
    </row>
    <row r="32" spans="2:12" s="143" customFormat="1" ht="82.5" customHeight="1" x14ac:dyDescent="0.3">
      <c r="B32" s="185"/>
      <c r="C32" s="186"/>
      <c r="D32" s="1247"/>
      <c r="E32" s="1248"/>
      <c r="F32" s="1248"/>
      <c r="G32" s="1248"/>
      <c r="H32" s="1248"/>
      <c r="I32" s="1249"/>
      <c r="J32" s="187"/>
      <c r="L32" s="19"/>
    </row>
    <row r="33" spans="2:12" s="143" customFormat="1" ht="82.5" customHeight="1" x14ac:dyDescent="0.3">
      <c r="B33" s="185"/>
      <c r="C33" s="186"/>
      <c r="D33" s="1247"/>
      <c r="E33" s="1248"/>
      <c r="F33" s="1248"/>
      <c r="G33" s="1248"/>
      <c r="H33" s="1248"/>
      <c r="I33" s="1249"/>
      <c r="J33" s="187"/>
      <c r="L33" s="19"/>
    </row>
    <row r="34" spans="2:12" s="143" customFormat="1" ht="82.5" customHeight="1" thickBot="1" x14ac:dyDescent="0.35">
      <c r="B34" s="185"/>
      <c r="C34" s="186"/>
      <c r="D34" s="1250"/>
      <c r="E34" s="1251"/>
      <c r="F34" s="1251"/>
      <c r="G34" s="1251"/>
      <c r="H34" s="1251"/>
      <c r="I34" s="1252"/>
      <c r="J34" s="187"/>
      <c r="L34" s="19"/>
    </row>
    <row r="35" spans="2:12" s="12" customFormat="1" x14ac:dyDescent="0.3">
      <c r="B35" s="178"/>
      <c r="C35" s="282"/>
      <c r="D35" s="420"/>
      <c r="E35" s="420"/>
      <c r="F35" s="420"/>
      <c r="G35" s="420"/>
      <c r="H35" s="425"/>
      <c r="I35" s="159"/>
      <c r="J35" s="181"/>
      <c r="L35" s="19"/>
    </row>
    <row r="36" spans="2:12" ht="25.5" customHeight="1" thickBot="1" x14ac:dyDescent="0.35">
      <c r="B36" s="178"/>
      <c r="C36" s="176"/>
      <c r="D36" s="1212" t="s">
        <v>504</v>
      </c>
      <c r="E36" s="1212"/>
      <c r="F36" s="1212" t="s">
        <v>505</v>
      </c>
      <c r="G36" s="1212"/>
      <c r="H36" s="133" t="s">
        <v>506</v>
      </c>
      <c r="I36" s="177" t="s">
        <v>507</v>
      </c>
      <c r="J36" s="181"/>
      <c r="K36" s="14"/>
      <c r="L36" s="19"/>
    </row>
    <row r="37" spans="2:12" ht="274.5" customHeight="1" thickBot="1" x14ac:dyDescent="0.35">
      <c r="B37" s="178"/>
      <c r="C37" s="179" t="s">
        <v>537</v>
      </c>
      <c r="D37" s="1218" t="str">
        <f t="shared" ref="D37:D44" si="0">+D8</f>
        <v>Output 1.1.1. Parishes in targeted cantons trained in climate change threats and adaptation measures which reduce vulnerability, in particular related to food security</v>
      </c>
      <c r="E37" s="1219"/>
      <c r="F37" s="1186" t="str">
        <f>+F8</f>
        <v>All communities participated in initial training sessions</v>
      </c>
      <c r="G37" s="1187"/>
      <c r="H37" s="431" t="str">
        <f>+H8</f>
        <v xml:space="preserve">The FORECCSA Project has multiple levels of training that respond to the project implementation process. Therefore, workshops have been developed to:
(i) implementation of of 9 types of adaptation measures (See output 2.1.1):
The training program focused on improving knowledge in the following areas:
         a) themes of the project axes - climate change, food security and gender
          b) technical issues related to the types of measures promoted by the project
          c) issues related to climate change impact on food security and nutrition 
          d) training for trainers in a context of climate change and food security 
      The methodology "training for trainers" created capacities within local governments. MAE technicians trained technicians from the parish governments and the parish governments trained the participants (community level).
(ii) measurement of the change produced with the implementation of the adaptation measure prior to its delivery to the community
     The reinforcement of the training is oriented to:
          a) measure the degree of compliance with the objectives and commitments assumed by the community where the measure is implemented
          b) qualitative identification of the benefits received by project participants
          c) measure the perception of reduction of workload among women as a result of the implementation of the measure
          d) measure the level of retention of the key messages taught in the training processes
During 2017, 95 workshops have been developed with an active participation of 33 parishes (32 from Jubones and 1 from Pichincha), there are attendance records that show this participation.
It should be noted that during the period 2015-2017, the 50 parishes participating in the implementation of adaptation measures have been trained, through the preparation and implementation of the capacity building plan of the FORECCSA Project. </v>
      </c>
      <c r="I37" s="160" t="s">
        <v>25</v>
      </c>
      <c r="J37" s="181"/>
      <c r="K37" s="14"/>
      <c r="L37" s="19"/>
    </row>
    <row r="38" spans="2:12" ht="147.75" customHeight="1" thickBot="1" x14ac:dyDescent="0.35">
      <c r="B38" s="178"/>
      <c r="C38" s="179"/>
      <c r="D38" s="1218" t="str">
        <f t="shared" si="0"/>
        <v>Output 1.1.2. Targeted parishes participate in adaptation and risk reduction awareness activities</v>
      </c>
      <c r="E38" s="1219"/>
      <c r="F38" s="1242"/>
      <c r="G38" s="1243"/>
      <c r="H38" s="632" t="str">
        <f>+H9</f>
        <v xml:space="preserve">During 2017, activities have been carried out that allow the population of the parishes to be aware of the risk of climate change on their livelihoods. To this end, rural and cantonal parish fairs have been developed with the aim of raising awareness about adaptation to climate change with an emphasis on food security. In these fairs, spaces are promoted so that households can share the strategies that guarantee them an adequate diet. 8 fairs have been developed in the Jubones basin and in Pichincha, where an average of 19,182 people have participated. It should be noted that it has been difficult to register the participants in the mass events, however there are photographic and audiovisual records that show the active participation of families in the fairs and their appropriation of the project proposal.
Other activities that are considered as events for the awareness of the population are the exchanges of experiences between the prioritized parishes of both Jubones and Pichincha. Six processes for the exchange of experiences were carried out in 2017, involving around 2,734 delegates from the communities covered by the project. Additionally, it is mentioned that the Project has participated in a meeting of rural women where the importance of the women's role to tackle climate change and food insecurity was exposed.  This event had an audience of 1,500 women who perceived an improvement on their knowledge related to gender and their role in regards to climate change adaptation.  </v>
      </c>
      <c r="I38" s="160" t="s">
        <v>25</v>
      </c>
      <c r="J38" s="181"/>
      <c r="K38" s="14"/>
      <c r="L38" s="19"/>
    </row>
    <row r="39" spans="2:12" ht="171" customHeight="1" thickBot="1" x14ac:dyDescent="0.35">
      <c r="B39" s="178"/>
      <c r="C39" s="179"/>
      <c r="D39" s="1218" t="str">
        <f t="shared" si="0"/>
        <v>Output 1.1.3. Food security and gender considerations integrated in all adaptation training programs</v>
      </c>
      <c r="E39" s="1219"/>
      <c r="F39" s="1188"/>
      <c r="G39" s="1189"/>
      <c r="H39" s="632" t="str">
        <f>+H10</f>
        <v xml:space="preserve">
Based on the experience generated prior to mid-2017, a training plan that links food security and climate change with gender considerations was consolidated.  It comprises three sections. The first deals specifically with the themes of the Project through three modules (climate change, food security and nutrition and gender), each one analyzing their specific topic and the relationship with the others. The second section addresses the content of each of the nine types of adaptation measures and inserts in a practical way the three themes: climate change, food security and gender according to the characteristics of each measure. Finally, the third section addresses issues related to food security and nutrition to address the promotion of good feeding practices, nutrition, hygiene, and food preparation and consumption in a context of climate change. Each module contains a conceptual document (contents), a theoretical-practical document (design of the Training Event, the Methodological Guide of the event and the facilitator, the Methodology and tool for baseline and learning evaluation), and; a dossier of materials.
This plan is complemented with a training module for Trainers that has allowed to strengthen the knowledge and skills of the technicians of the Ministry of Environment and local governments to carry out effective training processes for adult community members from the areas where the adaptation measures are implemented.  In addition, it includes assessment instruments that facilitate determining the knowledge improvements that are achieved through the training processes.
</v>
      </c>
      <c r="I39" s="160" t="s">
        <v>25</v>
      </c>
      <c r="J39" s="181"/>
      <c r="K39" s="14"/>
      <c r="L39" s="19"/>
    </row>
    <row r="40" spans="2:12" ht="93" customHeight="1" thickBot="1" x14ac:dyDescent="0.35">
      <c r="B40" s="178"/>
      <c r="C40" s="179"/>
      <c r="D40" s="1218" t="str">
        <f t="shared" si="0"/>
        <v>Output 1.2.1. Local adaptation plans developed to reduce vulnerabilities to climate change induced food insecurity in targeted areas</v>
      </c>
      <c r="E40" s="1219"/>
      <c r="F40" s="1218" t="s">
        <v>514</v>
      </c>
      <c r="G40" s="1219"/>
      <c r="H40" s="1253" t="str">
        <f>+H11</f>
        <v>Until 2017, 49 adaptation plans have been developed in the same number of parishes. In 2017, 31 plans were validated and in the process it was possible to generate cantonal and parish resolutions that declare climate change adaptation with emphasis on food security and gender considerations as a priority.  At the moment, three plans are in the approval process to get MAE´s official endorsement.  In 2017, four new plans were developed (included within the 49 that are reported) with the active participation of 150 leaders, of whom 53% were women.</v>
      </c>
      <c r="I40" s="160" t="s">
        <v>25</v>
      </c>
      <c r="J40" s="181"/>
      <c r="K40" s="14"/>
      <c r="L40" s="19"/>
    </row>
    <row r="41" spans="2:12" ht="76.5" customHeight="1" thickBot="1" x14ac:dyDescent="0.35">
      <c r="B41" s="178"/>
      <c r="C41" s="179"/>
      <c r="D41" s="1218" t="str">
        <f t="shared" si="0"/>
        <v>Output 1.2.2. Community participation in processes to develop adaptation plans in targeted parishes</v>
      </c>
      <c r="E41" s="1219"/>
      <c r="F41" s="1218" t="str">
        <f>+F12</f>
        <v>All parishes reached</v>
      </c>
      <c r="G41" s="1219"/>
      <c r="H41" s="1254"/>
      <c r="I41" s="160" t="s">
        <v>25</v>
      </c>
      <c r="J41" s="181"/>
      <c r="K41" s="14"/>
      <c r="L41" s="19"/>
    </row>
    <row r="42" spans="2:12" ht="120.75" customHeight="1" thickBot="1" x14ac:dyDescent="0.35">
      <c r="B42" s="178"/>
      <c r="C42" s="179"/>
      <c r="D42" s="1218" t="str">
        <f t="shared" si="0"/>
        <v>Output 1.2.3. Agreements developed and signed among targeted parishes, GADPP or CCRJ, MAE and WFP to implement adaptation actions</v>
      </c>
      <c r="E42" s="1219"/>
      <c r="F42" s="1186" t="str">
        <f>+F13</f>
        <v>All agreements reached to implement adaptation plans</v>
      </c>
      <c r="G42" s="1187"/>
      <c r="H42" s="632" t="str">
        <f>+H13</f>
        <v>Until now 35 agreements have been signed between MAE and the local governments in order to implement adaptation actions in the Jubones watershed and ensure their sustainability. These actions were possible due to the new execution mode that was opened in 2015. WFP, according to the resolutions of the National Steering Committee, has provided support for the procurement process of supplies. In the case of Pichincha, there is an amendment on the agreement with the GADPP to continue with the implementation of the adaptation measures and other project's components to achieve the results.  In addition, this executing partner has signed 13 agreements with the parishes in the province.  Signing agreements with local governments has allowed them to lead the implementation of measures in their locality.  In this way, they have managed to feel that they are leaders and owners of the process, which has generated high motivation, empowerment and knowledge regarding how the measures are implemented. From the project's perspective it is considered that the Local Governments, through the agreements, are Local Executing Partners and this is very well valued by them since it is one of the few Projects that works in close relation and coordination with the GADs.</v>
      </c>
      <c r="I42" s="160" t="s">
        <v>25</v>
      </c>
      <c r="J42" s="181"/>
      <c r="K42" s="14"/>
      <c r="L42" s="19"/>
    </row>
    <row r="43" spans="2:12" ht="196.5" thickBot="1" x14ac:dyDescent="0.35">
      <c r="B43" s="178"/>
      <c r="C43" s="179"/>
      <c r="D43" s="1218" t="str">
        <f t="shared" si="0"/>
        <v>Output 1.2.4. Women participated in processes and decision making to develop adaptation plans</v>
      </c>
      <c r="E43" s="1219"/>
      <c r="F43" s="1188"/>
      <c r="G43" s="1189"/>
      <c r="H43" s="431" t="str">
        <f>+H14</f>
        <v xml:space="preserve">
Project activities have created ways to facilitate participation of women and men and take into account their different needs. Targeting criteria for households participation in adaptation measures gives priority to families who are led by women. Decision-making workshops promoted by the project are held at times that fit well with women's schedules. During the development of workshops, facilities for child care are provided from project staff so participants can concentrate in the training.  Con los Gobiernos y Organizaciones Locales se coordinan espacios y mecanismos incluyentes de convocatoria para facilitar la participación de las mujeres, y cuando se identifican liderazgos femeninos se otorgan facilidades para su participación efectiva y se apoyan sus iniciativas. Además se fomentan espacios de intervención en eventos de importancia local, como los Festivales de Saberes y sabores Andinos donde las intervenciones en representación de las zonas las realizaron mujeres identificadas como liderezas, asi mismo los testimonios para videos o reportajes privilegian la participación de mujeres. 
The process of measures implementation considered working with groups of men and women to facilitate their needs and interests manifest themselves separately and properly addressed. Work on measures such as orchards, small animals and farm irrigation has allowed meet the practical needs of women. In Jubones three municipalities and parishes are led by women, these have been taken as emblematic cases and work closely to promote women empowerment and use them as an example. El equipo del Poyecto tiene una alta sensibilidad de Género y esto facilita que se fomenten espacios y condiciones para lograr y mejorar la participación de las mujeres con la finalidad de aportar a mejorasr sus necesidades prácticas y estratégicas. Como producto de esto se ha logrado que al menos dos mujeres ocupen cargos directivos en las juntas de regantes que tradicionalmente han estado conformadas por hombres. 
Estrategia género, ejes, indicador medido de número de horas de trabajo reducido a las mujeres con las medidas, independencia financiera reducción de violencia, guardiana del aguay otra historia actual. Trabajo aunado con UN WOMEN
</v>
      </c>
      <c r="I43" s="160" t="s">
        <v>25</v>
      </c>
      <c r="J43" s="181"/>
      <c r="K43" s="14"/>
      <c r="L43" s="19"/>
    </row>
    <row r="44" spans="2:12" ht="409.5" customHeight="1" thickBot="1" x14ac:dyDescent="0.35">
      <c r="B44" s="178"/>
      <c r="C44" s="179"/>
      <c r="D44" s="1186" t="str">
        <f t="shared" si="0"/>
        <v>Output 1.3.1. A climatic information system, including monitoring of climatic events, designed and implemented in each targeted areas in accordance with local context</v>
      </c>
      <c r="E44" s="1187"/>
      <c r="F44" s="1186" t="str">
        <f>+F15</f>
        <v>All early warning systems in place</v>
      </c>
      <c r="G44" s="1187"/>
      <c r="H44" s="1184" t="str">
        <f>+H15</f>
        <v xml:space="preserve">
The Project has designed two climate information systems according to the particularities of each zone: Pichincha and Jubones. At the beginning they were conceived as Early Warning Systems associated with disaster management ("what happened in time of emergency"), because, as indicated in the baseline, there were no climate information systems that relate to food security. Given the theme of the Project (climate change and food security), after a deep analysis and consensus, it was determined that it was pertinent to change the approach to climate risk management, which considers medium and long-term processes, as well as its implications for food security.  In order to support preventive management among related institutions to improve their decisions and take timely actions to reduce the adverse effects of climate change on the food security of the population. For this reason, it was necessary to include actors such as the National Meteorological Service (INAMHI) and the Risk Management Secretariat and through this entity the members of the Emergency Operations Committee, that have a working group in charge of discussing livelihoods and productivity, which is the subject most closely related to food security.
The design and implementation of the Support System for climate risk management on food security considers the development of five components: (i) climate monitoring and prediction, (ii) vulnerability of food security to climate change, (iii) identification of risks, (iv) communication and (v) coordinated management of the response. It is probable that it is one of the first systems that are structured with considerations of climate change effects on food security.
The scope of the system in each zone is defined according to the situations found in each area and the starting point is the network of meteorological stations that feed the system. It was identified that in Pichincha there was only one station and the system, by time and resources, focused on providing a functional network of stations that lay the foundations for the later development of the system.  In Jubones, it identified the existence of a functional network that should be reinforced and that would allow the whole system to be developed as a national and international piloting.
To achieve this, the Project has done an intense management work that has achieved that for the first time actors such as the Secretariat of Risk Management, Meteorological Service (INAMHI), Ministry of Agriculture, Ministry of Environment, and others, work together to address the problem of climate change and food insecurity as a common goal.  Each institution has official delegates and focal points.  It has also been necessary to strengthen capacities in each entity and facilitate the dialogue process. INAMHI is supported to strengthen the existing stations and install new ones so that they broadcast information that feeds their data system, as well as the system that is being formed.
In Jubones there are modules 1 and 2, while the rest are being developed. In Pichincha, the equipment to establish the network of meteorological stations was acquired in order to have enough quality data for climate analysis. In 2017, the GADDP has maintained and deepened problems with procurement processes that have delayed implementation.  Agreements with the national authority of weather information (INAMHI) for the implementation of climate forums have been affected by constant changes in  programming. To solve this problem, WFP will support the hiring processes to facilitate the installation of stations and other planned activities. This activity will also extend its execution until 2018.
 In 2017, with the change of Government in Ecuador, the new Secretary of Risk Management modified the structure of the Manual of the Emergency Operations Committee and the presidency of the working group in charge of the system shifted from the Ministry of Agriculture to the Ministry of Industries and Productivity, for this reason new agreements must be generated to start the system. This, in addition to the fact that the participation of multiple actors is required, means that the process requires more time for analysis and generation of agreements, so this product will be achieved in 2018.
In addition to the above, in 2017 an Ecuadorian researcher developed a low-cost electronic device to detect frosts and take preventive actions at the community level. The Project established contact and the device was installed in a community in Southern Ecuador, where the operation was tested. Subsequently, the equipment was calibrated in INAMHI and tested together with an official INAMHI meteorological station where it was determined that the equipment measures the humidity and temperature parameters following the same pattern of the station and that with small adjustments it can be installed to develop early anti-freeze warnings community systems in vulnerable parishes of Jubones. The technical committee should analyze this report and recommend its implementation and further development.  By the beginning of 2018 there will be a document that identifies the information gaps regarding the innovations made and the first monitoring plan, as well as the roadmap to complete the gaps. This document will collect the lessons learned in the monitoring process and the changes made during the implementation process. Once the information gaps and recommendations have been established, the corresponding terms of reference will be prepared to contract the development of a monitoring and evaluation system in accordance with the new management system implemented and to serve as a reference for similar projects that are implemented by the Ministry of the Environment of the Ecuador and / or the WFP, in this way the proposal will be institutionalized. This new system will be used by the new Binational Project that WFP will execute with funding from the Adaptation Fund.  It will also serve as a reference for projects that implement adaptation measures to climate change of the Undersecretariat of Climate Change of Ecuador
</v>
      </c>
      <c r="I44" s="160" t="s">
        <v>25</v>
      </c>
      <c r="J44" s="181"/>
      <c r="K44" s="14"/>
      <c r="L44" s="19"/>
    </row>
    <row r="45" spans="2:12" ht="145.5" customHeight="1" thickBot="1" x14ac:dyDescent="0.35">
      <c r="B45" s="178"/>
      <c r="C45" s="179"/>
      <c r="D45" s="1188"/>
      <c r="E45" s="1189"/>
      <c r="F45" s="1188"/>
      <c r="G45" s="1189"/>
      <c r="H45" s="1185"/>
      <c r="I45" s="160"/>
      <c r="J45" s="181"/>
      <c r="K45" s="14"/>
      <c r="L45" s="19"/>
    </row>
    <row r="46" spans="2:12" ht="409.5" customHeight="1" thickBot="1" x14ac:dyDescent="0.35">
      <c r="B46" s="178"/>
      <c r="C46" s="179"/>
      <c r="D46" s="1186" t="str">
        <f>+D17</f>
        <v>Output 1.3.2. Monitoring system to track project results and lessons learned</v>
      </c>
      <c r="E46" s="1187"/>
      <c r="F46" s="1186" t="str">
        <f>+F17</f>
        <v>Monitoring systems in place</v>
      </c>
      <c r="G46" s="1187"/>
      <c r="H46" s="1184" t="str">
        <f>+H17</f>
        <v xml:space="preserve">Since 2014, the FORECCSA project has a Project Monitoring System that has been adapted according to the progress and needs of the Project. Its development and innovation has had the challenge of ensuring the proper approach to climate change, food security and gender in all the results and components of the project's logical framework, that is, moving from a traditional monitoring system for a project to a monitoring system for an adaptation project to climate change with emphasis on food security and gender considerations. 
For the above, in 2017 with the purpose of supporting the consolidation of reports and the generation of lessons learned, the Project team has considered the content of the logical framework and the experience developed during the execution, to generate a technical and methodological proposal that allows to strengthen the resilience capacity of the communities before the adverse effects of climate change with emphasis on food security and gender considerations. This is summarized in seven lines of work that are expressed in the following guiding questions
1. Faced with what climate situation, food insecurity and gender inequity should parishes adapt? (Vulnerability Analysis)
2. What adaptation measures should be implemented in the face of the above? (Adaptation Plan),
3. What measures will be implemented immediately? (Prioritization of adaptation measure receiving funding from FORECCSA)
4. How to make the implemented measures sustainable? (Plan for Strengthening, Sustainability and Closure)
5. How to bring climate information to institutions, GADs and communities? , (Support Systems for Climatic Risk Management)
6. How to "feed the mind to fight hunger" in a context of climate change and gender inequality? (Training and awareness process)
7. How to empower local governments ?.
Among the transversal axes we have gender, knowledge management and systematization that cross all the axes. Based on the above, the Project aims to generate a proposal that includes indicators and scales of measurement for each axis, in this way it will be possible to measure the capacity of resilience that was achieved in each parish / community with respect to the initial point of work (situation with and without project) and in this way there will be a concrete indicator on the strengthening of resilience capacity, which is proposed from the name of the Project. It is highlighted that the work on gender was supported by UN Women and a proposal of indicators was developed to monitor and evaluate the work on the subject.
As part of the legacy left by the Project, in 2017, work has been done to update the monitoring system and the instruments for each work axis.
Since previous years, an important challenge has been the monitoring of the adaptation measures since the logical framework of the Project considers the number of measures implemented as an indicator.  However, each measure has its own logical framework that must be monitored.  Also, the measures have generated important data for the analysis of achievements on the improvement of the resilience capacity at community and family level.  For this reason, during 2016 and 2017 the system was strengthened. The results of the adaptation measures have been followed up with a community approach (matrix for monitoring results and consolidating hard data), monitoring the implementation stages of the adaptation measures (beneficiary monitoring matrix), has generated indicators by type of adaptation measure (Diversity, time, income and production).  The indicator of percentage of food consumption and gender indicators related to women's decision-making will be processed in the first quarter of 2018 and may be evidenced in the final report to be submitted once the project is closed. On the other hand, the participatory evaluation that will be carried out by the end of the implementation of the measures has been defined.  
During 2017 the monitoring tools have been adjusted to enhance the reporting of data in a communicational manner. There are quarterly reports that show the progress of the logical framework activities of the adaptation measures, which demonstrates the interinstitutional articulation established because the reports are jointly prepared by the technician of the GAD (local) and the technician of FORECCSA (national).  The reports include: trainings, number of beneficiary families, and contributions and counterparts of the GAD. All the local reports are part of a broader report by parish that will be presented in the final stage of project closure, the sequence of reports is shown in ANNEX 9.
All the information gathered in the measures feeds the overall logical framework of the project, especially the products 2.1.1. and 2.1.2 where the proposed goals have been exceeded. These results are of broad impact and national reference.
By the beginning of 2018 there will be a document that identifies the information gaps with respect to the innovations made and the first monitoring plan, as well as the road map to complete the gaps. This document will collect the lessons learned in the monitoring process and the changes made during the implementation process. Once the information gaps and recommendations have been established, the terms of reference to contract the development of a monitoring and evaluation system in accordance with the new management system will be prepared.  This will serve as a reference for similar projects that are implemented by the Ministry of the Environment of Ecuador and / or the WFP.  In addition, this new system will be used by the Binational Project that WFP will implemente with the Ministries of Environment of Colombia and Ecuador with funding from the Adaptation Fund.  It will also serve as a reference for projects from the Undersecretariat of Climate Change of Ecuador that implement adaptation measures to climate change.
</v>
      </c>
      <c r="I46" s="160" t="s">
        <v>25</v>
      </c>
      <c r="J46" s="181"/>
      <c r="K46" s="14"/>
      <c r="L46" s="19"/>
    </row>
    <row r="47" spans="2:12" ht="162" customHeight="1" thickBot="1" x14ac:dyDescent="0.35">
      <c r="B47" s="178"/>
      <c r="C47" s="179"/>
      <c r="D47" s="1188"/>
      <c r="E47" s="1189"/>
      <c r="F47" s="1188"/>
      <c r="G47" s="1189"/>
      <c r="H47" s="1185"/>
      <c r="I47" s="160"/>
      <c r="J47" s="181"/>
      <c r="K47" s="14"/>
      <c r="L47" s="19"/>
    </row>
    <row r="48" spans="2:12" ht="267" customHeight="1" thickBot="1" x14ac:dyDescent="0.35">
      <c r="B48" s="178"/>
      <c r="C48" s="179"/>
      <c r="D48" s="1218" t="str">
        <f t="shared" ref="D48:D52" si="1">+D19</f>
        <v>Output 2.1.1. Concrete adaptation measures based on parish adaptation plans are designed</v>
      </c>
      <c r="E48" s="1219"/>
      <c r="F48" s="1218" t="str">
        <f t="shared" ref="F48:F51" si="2">+F19</f>
        <v>100% of adaptation measures planned</v>
      </c>
      <c r="G48" s="1219"/>
      <c r="H48" s="431" t="str">
        <f t="shared" ref="H48:H52" si="3">+H19</f>
        <v>Based on the adaptation plans and vulnerability studies, concrete activities (adaptation measures) have been designed at the parish level in close coordination with the local governments and with the participation of communities. The design process of the measure was carried out by the project´s team with support from external consultants. The design phase involved a lot of time and efforts in order to obtain commitment from partners. The participation of the community and local authorities was crucial in order to guarantee sustainability and the cost-sharing with the local governments. 
The approval process of the adaptation measures goes from local to national level of governance and it counts with the inputs from GADPP, MAE, MAG and WFP. 
As a final result of the Project, 50 parochial adaptation measures have been designed corresponding to the measures prioritized in the parish adaptation plans. These measures were prioritized by the communities according to the following criteria: technical and financial feasibility, number of beneficiaries, relationship with the critical indicator of climate risk and food security, potential for generating synergies, and; priorities of local government and communities. In 2017, 3 adaptation measures were designed in the Jubones river basin and 3 adaptation measures for the province of Pichincha that were approved by the highest decision-making body of the project, the National Steering Committee.
It should be noted that the approval of the 3 adaptation measures developed for the parishes of Victoria del Portete, Juan Montalvo and Cayambe was based on:
1. Victoria del Portete: is a parish vulnerable to drought in the Jubones River basin that was intervened by the PACC Project (Flagship Project of the Undersecretariat of Climate Change - closed 2015), the adaptation action proposed by the PACC was the construction of a reservoir, however, the Parochial GAD of Victoria del Portete presented a proposal to strengthen the measure implemented by said project. The FORECCSA Project, with the purpose of strengthening and providing sustainability to the measure implemented by the PACC, as well as enhancing the benefit for the population, carried out another adaptation action that allowed the optimal operation of the reservoir of the irrigation system of the San Tomás micro-watershed, therefore, it is added to the measures implemented by FORECCSA.
2. Cayambe and Juan Montalvo: they are parishes of the Province of Pichincha that are considered vulnerable to the effects of climate change in the Provincial Climate Change Strategy, for this reason the executing partner GADPP decided to design the measures with the monetary balances of the 10 parishes identified.
It is emphasized that each parish adaptation measure integrates at least two types of measures, so in total 86 measures have been designed that cover the most vulnerable communities within each parish. The design of the measures responds to the participatory priorities established in the adaptation plan, which at the same time respond and to the critical indicators of food security that were identified in the vulnerability analysis.</v>
      </c>
      <c r="I48" s="160" t="s">
        <v>25</v>
      </c>
      <c r="J48" s="181"/>
      <c r="K48" s="14"/>
      <c r="L48" s="19"/>
    </row>
    <row r="49" spans="2:12" ht="277.5" customHeight="1" thickBot="1" x14ac:dyDescent="0.35">
      <c r="B49" s="178"/>
      <c r="C49" s="179"/>
      <c r="D49" s="1218" t="str">
        <f t="shared" si="1"/>
        <v>Output 2.1.2. Adaptation to climate change measures (physical assets, natural assets and technologies) are implemented according with the parishes adaptation plans</v>
      </c>
      <c r="E49" s="1219"/>
      <c r="F49" s="1218" t="str">
        <f t="shared" si="2"/>
        <v>90% of asset created</v>
      </c>
      <c r="G49" s="1219"/>
      <c r="H49" s="431" t="str">
        <f t="shared" si="3"/>
        <v>As of October 2017, the implementation of 41 adaptation measures for food security with gender considerations has been completed. 9 measures are in the process of being implemented (3 in Pichincha and 6 in Jubones). Around 10,984 families have participated and directly benefited from these measures.  They have improved their resilience against the adverse effects of climate change. For details see Annex 2
The 50 adaptation measures are distributed between 37 measures for the Jubones river basin and 13 measures for the province of Pichincha, the implementation has had an active participation of the communities and leaders and parish and cantonal authorities.
If the parish and community level analysis is deepened, it is reported that the project has implemented 86 adaptation actions within the framework of the 9 types of adaptation measures, which strengthens the adaptation capacity in 50 parishes, covering 240 communities.
The adaptation measures have allowed the parishes: (i). anticipate risks; (ii) face them and (iii) recover from the potential risks. The typologies implemented by FORECCSA are:
Typology 1: Protection of water sources = 9 actions
Typology 2. Promotion of silvopastures for the creation of microclimates and moisture retention = 4 actions
Typology 3. Provision and strengthening of parcel irrigation in drought areas = 11 actions
Typology 4. Strengthening community irrigation in drought areas = 30 actions
Typology 5. Promotion of seeds with attributes of drought and frost resistance = 2 actions
Typology 6. Promotion of home gardens = 16 actions
Typology 7. Management of organic fertilizers for soil moisture retention = 5 actions
Typology 8. Improvement of the water supply for human consumption = 6 actions
Typology 9. Promotion of small animals = 3 actions
At the national level it is reported that the Province with the greatest variety of typologies is the Province of Azuay with the implementation of all typologies, followed by the Provinces of El Oro and Loja and finally Pichincha implements a single typology that is community irrigation that responds to the water deficit conditions that exist in the area. For more details see annex 10.</v>
      </c>
      <c r="I49" s="160" t="s">
        <v>25</v>
      </c>
      <c r="J49" s="181"/>
      <c r="K49" s="14"/>
      <c r="L49" s="19"/>
    </row>
    <row r="50" spans="2:12" ht="188.25" customHeight="1" thickBot="1" x14ac:dyDescent="0.35">
      <c r="B50" s="178"/>
      <c r="C50" s="179"/>
      <c r="D50" s="1218" t="str">
        <f t="shared" si="1"/>
        <v>Output 2.1.3. Implementation strategy includes approach for the use of incentives</v>
      </c>
      <c r="E50" s="1219"/>
      <c r="F50" s="1218" t="str">
        <f t="shared" si="2"/>
        <v>Strategy developed
90% of incentives implemented</v>
      </c>
      <c r="G50" s="1219"/>
      <c r="H50" s="431" t="str">
        <f>+H21</f>
        <v>The Project Steering Committee approved an incentive strategy that has the following objectives: (i) Overcome specific barriers that limit the operation of the measures, (ii) ensure the operation and maintenance of the measures after the Project (Sustainability), (iii) ) Strengthen the approach to Food Security and Gender approaches; (iv) Document and share successful experiences; and (v) empower local governments through the issuance of local regulations and obtaining the MAE's endorsement of its adaptation plan. Based on the foregoing, it has been identified that strengthening, sustainability and closure will be a function of seven axes: (i) irrigation, (ii) food security, (iii) potable water, (iv) strengthening of drinking water boards and irrigation, (v) capacity building, (vi) anti-freeze community warning system (vi) formalization of the adaptation plan before the MAE. The axes that are applied in each parish and measure are defined through a participatory process between the Local Government and community leaders, where the participation of women is privileged.
The previous proposal will allow to fulfill the proposed objectives, 47 of the 50 parishes (34 parishes of Jubones and 13 of Pichincha) developed their strengthening and sustainability plans, while the measures that were designed for 3 parishes in Jubones, during 2017, included the activities of this strategy as part of the roadmap for the implementation of the measure. The plan constitutes an important motivation for the participating local families and governments, since it focuses on giving an incentive for the good participation and development of the actions. In terms of implementation, the beneficiary families have been targeted and the inputs and services required for each axis are in the process of acquisition, the axis that has already been met in all Jubones measures is the formalization of the adaptation plan before the MAE and have obtained their endorsement or approval, while the implementation of the anti-freeze community warning system depends on the approval of the Technical Committee. The implementation of the incentive strategy is expected to complete the first quarter of 2018.
Annex 6 presents the detail of the axes and sub-axes of the incentive strategy for Jubones and annex 7 presents the proposal for Pichincha. The incentive mechanism, as approved by the Project Steering Committee, is financed with the incentive item for each parish (USD 10,000) and the balances generated in the execution of each measure.</v>
      </c>
      <c r="I50" s="160" t="s">
        <v>538</v>
      </c>
      <c r="J50" s="181"/>
      <c r="K50" s="14"/>
      <c r="L50" s="19"/>
    </row>
    <row r="51" spans="2:12" ht="284.25" customHeight="1" thickBot="1" x14ac:dyDescent="0.35">
      <c r="B51" s="178"/>
      <c r="C51" s="179"/>
      <c r="D51" s="1218" t="str">
        <f t="shared" si="1"/>
        <v>Output 2.2.1. Community participation, in particular of women, guide decision making processes for project execution</v>
      </c>
      <c r="E51" s="1219"/>
      <c r="F51" s="1186" t="str">
        <f t="shared" si="2"/>
        <v>Feedback process implemented</v>
      </c>
      <c r="G51" s="1187"/>
      <c r="H51" s="431" t="str">
        <f t="shared" si="3"/>
        <v xml:space="preserve">Project activities have considered ways to facilitate participation of women and men taking into account their different needs and interests. Decision-making workshops promoted by the project are held at times that fit well with women's schedules in order to ensure their participation. During the development of workshops, facilities for child care are provided by project staff so that participants can concentrate in the training.  During the validation process that took place during this year and also at the different project activities, it was identified that out of the 150 leaders that actively participate and that have an influence on decision-making, 53% (80) correspond to women.  The analysis of women's participation on the different training activities shows that out of a total of 5,831 participants, 55% correspond to women.  
Training project staff on gender issues has proved to be an important tool to generate knowledge, develop skills and raise awareness. As a result, they have shown increased ownership and commitment because it has stopped being just a speech and it has become a practical experience. The strategy used is to first identify the participation limitations of local women; encourage their presence among local leaders; promote their voice in all of the activities; value their opinions and suggestions; register their attendance; increase men's awareness; and create a baseline on participation and decision-making of men and women at the beginning of implementation, which will allow to monitor progress and establish the changes achieved by the end of the project.
• Mrs. Elsa Cabrera, from La Esperanza neighborhood (SelvaAlegre-Saraguro-Loja) says: "In summer time it takes me almost 3 hours to walk to the hill with my children to cut two bags of grass and return on the mule.  Now I just go out and cut it, that saves us time. "
• Mrs. Silvia Orzco manifests (Saraguro-Loja) says: "With irrigated land I no longer have to look for water, now I just have to open the faucet and during the summer I save even half an hour a day, even if it's to rest" .
Actions such as those indicated contribute to the improvement of the position of women in terms of access, control and decision-making at the household level and beyond the actions of the Project.
In the monitoring and systematization process, more testimonies and indicators will be gathered by parish and by typology. The above shows that concrete results related to gender have been achieved, which has drawn the attention of other project's that know about FORECCSA's work mechanism.  FORECCSA's work on gender has been recognized and for that reason it was invited to participate at the National Meeting of Rural Women to present its strategy.  The achieved results generated a great deal of interest from the different national stakeholders that participated in the event, because it is one of the few projects that actually has practical results that surpass the discourses and the diagnoses.
</v>
      </c>
      <c r="I51" s="160" t="s">
        <v>25</v>
      </c>
      <c r="J51" s="181"/>
      <c r="K51" s="14"/>
      <c r="L51" s="19"/>
    </row>
    <row r="52" spans="2:12" ht="160.5" customHeight="1" thickBot="1" x14ac:dyDescent="0.35">
      <c r="B52" s="178"/>
      <c r="C52" s="179"/>
      <c r="D52" s="1218" t="str">
        <f t="shared" si="1"/>
        <v>Output 2.2.2, Parishes share success stories and lessons learned</v>
      </c>
      <c r="E52" s="1219"/>
      <c r="F52" s="1188"/>
      <c r="G52" s="1189"/>
      <c r="H52" s="431" t="str">
        <f t="shared" si="3"/>
        <v xml:space="preserve">
In 2017 the experience of the FORECCSA project (focus, proposal, methodology, results) has been exposed in at least 10 local fairs that reached an estimated participation of 19,000 people; 8 events to exchange experiences that involved 2,800 people, plus the visit of 5 national and international delegations interested in learning about the actions of the FORECCA project. Annex xx details this information.
Among the relevant events of the year 2017 is the Festival of Andean tastes and flavors to face climate change, one was carried out in each work area. In Pichincha was attended by 1000 people and in Jubones was 2000. They attended delegations of men and women from all participating parishes in order to exchange experiences on the positive results of adaptation measures implemented through the Project FORECCSA, authorities of MAE, MAG, PMA and the executing partners also participated. On the part of the MAE, a recognition was given to the leadership that the GADs have had for the implementation of the adaptation measures that counteract the effects of climate change on food sovereignty, including gender considerations, in the most vulnerable communities.
The area of ​​resilience and climate change of PMA Latin America conducted in 2017 four videos on alliances, capacity building, resilience and gender where the experience of the FORECCSA project was included. In the validation process of adaptation plans, 34 workshops were held where the relevant information on climate change, food security and gender were disseminated. Project experience was also presented, by a PMA official, in the Adaptation Fund Side Event Showcases Environmental and Social Policies in Helping Ensure Focus on Most Vulnerable, held at COP 23 in Bonn - Germany.
</v>
      </c>
      <c r="I52" s="160" t="s">
        <v>25</v>
      </c>
      <c r="J52" s="181"/>
      <c r="K52" s="14"/>
      <c r="L52" s="19"/>
    </row>
    <row r="53" spans="2:12" ht="18.75" customHeight="1" thickBot="1" x14ac:dyDescent="0.35">
      <c r="B53" s="178"/>
      <c r="C53" s="176"/>
      <c r="D53" s="117"/>
      <c r="E53" s="117"/>
      <c r="F53" s="117"/>
      <c r="G53" s="117"/>
      <c r="H53" s="428" t="s">
        <v>533</v>
      </c>
      <c r="I53" s="184" t="s">
        <v>25</v>
      </c>
      <c r="J53" s="181"/>
      <c r="L53" s="19"/>
    </row>
    <row r="54" spans="2:12" ht="14.5" thickBot="1" x14ac:dyDescent="0.35">
      <c r="B54" s="178"/>
      <c r="C54" s="176"/>
      <c r="D54" s="432" t="s">
        <v>539</v>
      </c>
      <c r="E54" s="433"/>
      <c r="F54" s="117"/>
      <c r="G54" s="117"/>
      <c r="H54" s="429"/>
      <c r="I54" s="176"/>
      <c r="J54" s="181"/>
      <c r="L54" s="19"/>
    </row>
    <row r="55" spans="2:12" ht="14.5" thickBot="1" x14ac:dyDescent="0.35">
      <c r="B55" s="178"/>
      <c r="C55" s="176"/>
      <c r="D55" s="430" t="s">
        <v>81</v>
      </c>
      <c r="E55" s="1217" t="s">
        <v>540</v>
      </c>
      <c r="F55" s="1210"/>
      <c r="G55" s="1210"/>
      <c r="H55" s="1211"/>
      <c r="I55" s="176"/>
      <c r="J55" s="181"/>
      <c r="L55" s="19"/>
    </row>
    <row r="56" spans="2:12" ht="15" thickBot="1" x14ac:dyDescent="0.4">
      <c r="B56" s="178"/>
      <c r="C56" s="176"/>
      <c r="D56" s="430" t="s">
        <v>84</v>
      </c>
      <c r="E56" s="1209" t="s">
        <v>541</v>
      </c>
      <c r="F56" s="1210"/>
      <c r="G56" s="1210"/>
      <c r="H56" s="1211"/>
      <c r="I56" s="176"/>
      <c r="J56" s="181"/>
      <c r="L56" s="19"/>
    </row>
    <row r="57" spans="2:12" x14ac:dyDescent="0.3">
      <c r="B57" s="178"/>
      <c r="C57" s="176"/>
      <c r="D57" s="117"/>
      <c r="E57" s="117"/>
      <c r="F57" s="117"/>
      <c r="G57" s="117"/>
      <c r="H57" s="429"/>
      <c r="I57" s="176"/>
      <c r="J57" s="181"/>
      <c r="L57" s="19"/>
    </row>
    <row r="58" spans="2:12" ht="42" customHeight="1" thickBot="1" x14ac:dyDescent="0.35">
      <c r="B58" s="178"/>
      <c r="C58" s="176"/>
      <c r="D58" s="1212" t="s">
        <v>504</v>
      </c>
      <c r="E58" s="1212"/>
      <c r="F58" s="1212" t="s">
        <v>505</v>
      </c>
      <c r="G58" s="1212"/>
      <c r="H58" s="133" t="s">
        <v>506</v>
      </c>
      <c r="I58" s="177" t="s">
        <v>507</v>
      </c>
      <c r="J58" s="181"/>
      <c r="K58" s="14"/>
      <c r="L58" s="19"/>
    </row>
    <row r="59" spans="2:12" ht="39.9" customHeight="1" thickBot="1" x14ac:dyDescent="0.35">
      <c r="B59" s="178"/>
      <c r="C59" s="179" t="s">
        <v>542</v>
      </c>
      <c r="D59" s="1213"/>
      <c r="E59" s="1214"/>
      <c r="F59" s="1213"/>
      <c r="G59" s="1214"/>
      <c r="H59" s="434"/>
      <c r="I59" s="161"/>
      <c r="J59" s="181"/>
      <c r="K59" s="14"/>
      <c r="L59" s="19"/>
    </row>
    <row r="60" spans="2:12" ht="39.9" customHeight="1" thickBot="1" x14ac:dyDescent="0.35">
      <c r="B60" s="178"/>
      <c r="C60" s="179"/>
      <c r="D60" s="1213"/>
      <c r="E60" s="1214"/>
      <c r="F60" s="1213"/>
      <c r="G60" s="1214"/>
      <c r="H60" s="434"/>
      <c r="I60" s="161"/>
      <c r="J60" s="181"/>
      <c r="L60" s="19"/>
    </row>
    <row r="61" spans="2:12" ht="48" customHeight="1" thickBot="1" x14ac:dyDescent="0.35">
      <c r="B61" s="178"/>
      <c r="C61" s="179"/>
      <c r="D61" s="1213"/>
      <c r="E61" s="1214"/>
      <c r="F61" s="1213"/>
      <c r="G61" s="1214"/>
      <c r="H61" s="434"/>
      <c r="I61" s="161"/>
      <c r="J61" s="181"/>
      <c r="L61" s="19"/>
    </row>
    <row r="62" spans="2:12" ht="21.75" customHeight="1" thickBot="1" x14ac:dyDescent="0.35">
      <c r="B62" s="178"/>
      <c r="C62" s="176"/>
      <c r="D62" s="117"/>
      <c r="E62" s="117"/>
      <c r="F62" s="117"/>
      <c r="G62" s="117"/>
      <c r="H62" s="428" t="s">
        <v>533</v>
      </c>
      <c r="I62" s="188"/>
      <c r="J62" s="181"/>
      <c r="L62" s="19"/>
    </row>
    <row r="63" spans="2:12" ht="14.5" thickBot="1" x14ac:dyDescent="0.35">
      <c r="B63" s="178"/>
      <c r="C63" s="176"/>
      <c r="D63" s="432" t="s">
        <v>539</v>
      </c>
      <c r="E63" s="433"/>
      <c r="F63" s="117"/>
      <c r="G63" s="117"/>
      <c r="H63" s="429"/>
      <c r="I63" s="176"/>
      <c r="J63" s="181"/>
      <c r="L63" s="19"/>
    </row>
    <row r="64" spans="2:12" ht="14.5" thickBot="1" x14ac:dyDescent="0.35">
      <c r="B64" s="178"/>
      <c r="C64" s="176"/>
      <c r="D64" s="430" t="s">
        <v>81</v>
      </c>
      <c r="E64" s="1217"/>
      <c r="F64" s="1210"/>
      <c r="G64" s="1210"/>
      <c r="H64" s="1211"/>
      <c r="I64" s="176"/>
      <c r="J64" s="181"/>
      <c r="L64" s="19"/>
    </row>
    <row r="65" spans="2:12" ht="14.5" thickBot="1" x14ac:dyDescent="0.35">
      <c r="B65" s="178"/>
      <c r="C65" s="176"/>
      <c r="D65" s="430" t="s">
        <v>84</v>
      </c>
      <c r="E65" s="1217"/>
      <c r="F65" s="1210"/>
      <c r="G65" s="1210"/>
      <c r="H65" s="1211"/>
      <c r="I65" s="176"/>
      <c r="J65" s="181"/>
      <c r="L65" s="19"/>
    </row>
    <row r="66" spans="2:12" ht="14.5" thickBot="1" x14ac:dyDescent="0.35">
      <c r="B66" s="178"/>
      <c r="C66" s="176"/>
      <c r="D66" s="430"/>
      <c r="E66" s="117"/>
      <c r="F66" s="117"/>
      <c r="G66" s="117"/>
      <c r="H66" s="117"/>
      <c r="I66" s="176"/>
      <c r="J66" s="181"/>
      <c r="L66" s="19"/>
    </row>
    <row r="67" spans="2:12" ht="301.5" customHeight="1" x14ac:dyDescent="0.3">
      <c r="B67" s="178"/>
      <c r="C67" s="162"/>
      <c r="D67" s="1229" t="s">
        <v>543</v>
      </c>
      <c r="E67" s="1229"/>
      <c r="F67" s="1200" t="s">
        <v>1609</v>
      </c>
      <c r="G67" s="1201"/>
      <c r="H67" s="1201"/>
      <c r="I67" s="1202"/>
      <c r="J67" s="181"/>
      <c r="L67" s="19"/>
    </row>
    <row r="68" spans="2:12" ht="27" customHeight="1" x14ac:dyDescent="0.3">
      <c r="B68" s="178"/>
      <c r="C68" s="162"/>
      <c r="D68" s="435"/>
      <c r="E68" s="435"/>
      <c r="F68" s="1203"/>
      <c r="G68" s="1204"/>
      <c r="H68" s="1204"/>
      <c r="I68" s="1205"/>
      <c r="J68" s="181"/>
      <c r="L68" s="19"/>
    </row>
    <row r="69" spans="2:12" ht="17.25" customHeight="1" thickBot="1" x14ac:dyDescent="0.35">
      <c r="B69" s="178"/>
      <c r="C69" s="162"/>
      <c r="D69" s="435"/>
      <c r="E69" s="435"/>
      <c r="F69" s="1206"/>
      <c r="G69" s="1207"/>
      <c r="H69" s="1207"/>
      <c r="I69" s="1208"/>
      <c r="J69" s="181"/>
      <c r="L69" s="19"/>
    </row>
    <row r="70" spans="2:12" s="12" customFormat="1" ht="18.75" customHeight="1" x14ac:dyDescent="0.3">
      <c r="B70" s="178"/>
      <c r="C70" s="189"/>
      <c r="D70" s="31"/>
      <c r="E70" s="31"/>
      <c r="F70" s="31"/>
      <c r="G70" s="31"/>
      <c r="H70" s="425"/>
      <c r="I70" s="159"/>
      <c r="J70" s="181"/>
      <c r="L70" s="19"/>
    </row>
    <row r="71" spans="2:12" s="12" customFormat="1" ht="15.75" customHeight="1" thickBot="1" x14ac:dyDescent="0.35">
      <c r="B71" s="178"/>
      <c r="C71" s="176"/>
      <c r="D71" s="30"/>
      <c r="E71" s="30"/>
      <c r="F71" s="30"/>
      <c r="G71" s="436" t="s">
        <v>544</v>
      </c>
      <c r="H71" s="425"/>
      <c r="I71" s="159"/>
      <c r="J71" s="181"/>
      <c r="L71" s="19"/>
    </row>
    <row r="72" spans="2:12" s="12" customFormat="1" ht="78" customHeight="1" x14ac:dyDescent="0.3">
      <c r="B72" s="178"/>
      <c r="C72" s="176"/>
      <c r="D72" s="30"/>
      <c r="E72" s="30"/>
      <c r="F72" s="437" t="s">
        <v>545</v>
      </c>
      <c r="G72" s="1223" t="s">
        <v>546</v>
      </c>
      <c r="H72" s="1224"/>
      <c r="I72" s="1225"/>
      <c r="J72" s="181"/>
      <c r="L72" s="19"/>
    </row>
    <row r="73" spans="2:12" s="12" customFormat="1" ht="54.75" customHeight="1" x14ac:dyDescent="0.3">
      <c r="B73" s="178"/>
      <c r="C73" s="176"/>
      <c r="D73" s="30"/>
      <c r="E73" s="30"/>
      <c r="F73" s="438" t="s">
        <v>547</v>
      </c>
      <c r="G73" s="1226" t="s">
        <v>548</v>
      </c>
      <c r="H73" s="1227"/>
      <c r="I73" s="1228"/>
      <c r="J73" s="181"/>
      <c r="L73" s="19"/>
    </row>
    <row r="74" spans="2:12" s="12" customFormat="1" ht="58.5" customHeight="1" x14ac:dyDescent="0.3">
      <c r="B74" s="178"/>
      <c r="C74" s="176"/>
      <c r="D74" s="30"/>
      <c r="E74" s="30"/>
      <c r="F74" s="438" t="s">
        <v>549</v>
      </c>
      <c r="G74" s="1226" t="s">
        <v>550</v>
      </c>
      <c r="H74" s="1227"/>
      <c r="I74" s="1228"/>
      <c r="J74" s="181"/>
      <c r="L74" s="19"/>
    </row>
    <row r="75" spans="2:12" ht="60" customHeight="1" x14ac:dyDescent="0.3">
      <c r="B75" s="178"/>
      <c r="C75" s="176"/>
      <c r="D75" s="30"/>
      <c r="E75" s="30"/>
      <c r="F75" s="438" t="s">
        <v>551</v>
      </c>
      <c r="G75" s="1226" t="s">
        <v>552</v>
      </c>
      <c r="H75" s="1227"/>
      <c r="I75" s="1228"/>
      <c r="J75" s="181"/>
      <c r="L75" s="19"/>
    </row>
    <row r="76" spans="2:12" ht="54" customHeight="1" x14ac:dyDescent="0.3">
      <c r="B76" s="175"/>
      <c r="C76" s="176"/>
      <c r="D76" s="30"/>
      <c r="E76" s="30"/>
      <c r="F76" s="438" t="s">
        <v>553</v>
      </c>
      <c r="G76" s="1226" t="s">
        <v>554</v>
      </c>
      <c r="H76" s="1227"/>
      <c r="I76" s="1228"/>
      <c r="J76" s="50"/>
      <c r="L76" s="19"/>
    </row>
    <row r="77" spans="2:12" ht="61.5" customHeight="1" thickBot="1" x14ac:dyDescent="0.35">
      <c r="B77" s="175"/>
      <c r="C77" s="176"/>
      <c r="D77" s="30"/>
      <c r="E77" s="30"/>
      <c r="F77" s="439" t="s">
        <v>555</v>
      </c>
      <c r="G77" s="1220" t="s">
        <v>556</v>
      </c>
      <c r="H77" s="1221"/>
      <c r="I77" s="1222"/>
      <c r="J77" s="50"/>
      <c r="L77" s="19"/>
    </row>
    <row r="78" spans="2:12" ht="14.5" thickBot="1" x14ac:dyDescent="0.35">
      <c r="B78" s="190"/>
      <c r="C78" s="191"/>
      <c r="D78" s="34"/>
      <c r="E78" s="34"/>
      <c r="F78" s="34"/>
      <c r="G78" s="34"/>
      <c r="H78" s="440"/>
      <c r="I78" s="163"/>
      <c r="J78" s="193"/>
      <c r="K78" s="19"/>
      <c r="L78" s="19"/>
    </row>
    <row r="79" spans="2:12" ht="50.15" customHeight="1" x14ac:dyDescent="0.3">
      <c r="C79" s="19"/>
      <c r="D79" s="421"/>
      <c r="E79" s="421"/>
      <c r="F79" s="421"/>
      <c r="G79" s="421"/>
      <c r="H79" s="421"/>
      <c r="I79" s="19"/>
      <c r="J79" s="19"/>
      <c r="K79" s="19"/>
      <c r="L79" s="19"/>
    </row>
    <row r="80" spans="2:12" ht="50.15" customHeight="1" x14ac:dyDescent="0.3">
      <c r="C80" s="19"/>
      <c r="D80" s="421"/>
      <c r="E80" s="421"/>
      <c r="F80" s="421"/>
      <c r="G80" s="421"/>
      <c r="H80" s="421"/>
      <c r="I80" s="19"/>
      <c r="J80" s="19"/>
      <c r="K80" s="19"/>
      <c r="L80" s="19"/>
    </row>
    <row r="81" spans="1:12" ht="49.5" customHeight="1" x14ac:dyDescent="0.3">
      <c r="C81" s="19"/>
      <c r="D81" s="421"/>
      <c r="E81" s="421"/>
      <c r="F81" s="421"/>
      <c r="G81" s="421"/>
      <c r="H81" s="421"/>
      <c r="I81" s="19"/>
      <c r="J81" s="19"/>
      <c r="K81" s="19"/>
      <c r="L81" s="19"/>
    </row>
    <row r="82" spans="1:12" ht="50.15" customHeight="1" x14ac:dyDescent="0.3">
      <c r="C82" s="19"/>
      <c r="D82" s="421"/>
      <c r="E82" s="421"/>
      <c r="F82" s="421"/>
      <c r="G82" s="421"/>
      <c r="H82" s="421"/>
      <c r="I82" s="19"/>
      <c r="J82" s="19"/>
      <c r="K82" s="19"/>
      <c r="L82" s="19"/>
    </row>
    <row r="83" spans="1:12" ht="50.15" customHeight="1" x14ac:dyDescent="0.3">
      <c r="C83" s="19"/>
      <c r="D83" s="421"/>
      <c r="E83" s="421"/>
      <c r="F83" s="421"/>
      <c r="G83" s="421"/>
      <c r="H83" s="421"/>
      <c r="I83" s="19"/>
      <c r="J83" s="19"/>
      <c r="K83" s="19"/>
      <c r="L83" s="19"/>
    </row>
    <row r="84" spans="1:12" ht="50.15" customHeight="1" x14ac:dyDescent="0.3">
      <c r="C84" s="19"/>
      <c r="D84" s="421"/>
      <c r="E84" s="421"/>
      <c r="F84" s="421"/>
      <c r="G84" s="421"/>
      <c r="H84" s="421"/>
      <c r="I84" s="19"/>
      <c r="J84" s="19"/>
      <c r="K84" s="19"/>
      <c r="L84" s="19"/>
    </row>
    <row r="85" spans="1:12" x14ac:dyDescent="0.3">
      <c r="C85" s="19"/>
      <c r="D85" s="421"/>
      <c r="E85" s="421"/>
      <c r="F85" s="421"/>
      <c r="G85" s="421"/>
      <c r="H85" s="421"/>
      <c r="I85" s="19"/>
      <c r="J85" s="19"/>
      <c r="K85" s="19"/>
      <c r="L85" s="19"/>
    </row>
    <row r="86" spans="1:12" x14ac:dyDescent="0.3">
      <c r="C86" s="19"/>
      <c r="D86" s="421"/>
      <c r="E86" s="421"/>
      <c r="F86" s="421"/>
      <c r="G86" s="421"/>
      <c r="H86" s="421"/>
      <c r="I86" s="19"/>
      <c r="J86" s="19"/>
      <c r="K86" s="19"/>
      <c r="L86" s="19"/>
    </row>
    <row r="87" spans="1:12" x14ac:dyDescent="0.3">
      <c r="C87" s="19"/>
      <c r="D87" s="421"/>
      <c r="E87" s="421"/>
      <c r="F87" s="421"/>
      <c r="G87" s="421"/>
      <c r="H87" s="421"/>
      <c r="I87" s="19"/>
      <c r="J87" s="19"/>
      <c r="K87" s="19"/>
      <c r="L87" s="19"/>
    </row>
    <row r="88" spans="1:12" x14ac:dyDescent="0.3">
      <c r="A88" s="19"/>
      <c r="C88" s="19"/>
      <c r="D88" s="421"/>
      <c r="E88" s="421"/>
      <c r="F88" s="421"/>
      <c r="G88" s="421"/>
      <c r="H88" s="421"/>
      <c r="I88" s="19"/>
      <c r="J88" s="19"/>
      <c r="K88" s="19"/>
      <c r="L88" s="19"/>
    </row>
    <row r="89" spans="1:12" x14ac:dyDescent="0.3">
      <c r="A89" s="19"/>
      <c r="B89" s="19"/>
      <c r="C89" s="19"/>
      <c r="D89" s="421"/>
      <c r="E89" s="421"/>
      <c r="F89" s="421"/>
      <c r="G89" s="421"/>
      <c r="H89" s="421"/>
      <c r="I89" s="19"/>
      <c r="J89" s="19"/>
      <c r="K89" s="19"/>
      <c r="L89" s="19"/>
    </row>
    <row r="90" spans="1:12" x14ac:dyDescent="0.3">
      <c r="A90" s="19"/>
      <c r="B90" s="19"/>
      <c r="C90" s="19"/>
      <c r="D90" s="421"/>
      <c r="E90" s="421"/>
      <c r="F90" s="421"/>
      <c r="G90" s="421"/>
      <c r="H90" s="421"/>
      <c r="I90" s="19"/>
      <c r="J90" s="19"/>
      <c r="K90" s="19"/>
      <c r="L90" s="19"/>
    </row>
    <row r="91" spans="1:12" x14ac:dyDescent="0.3">
      <c r="A91" s="19"/>
      <c r="B91" s="19"/>
      <c r="C91" s="19"/>
      <c r="D91" s="421"/>
      <c r="E91" s="421"/>
      <c r="F91" s="421"/>
      <c r="G91" s="421"/>
      <c r="H91" s="421"/>
      <c r="I91" s="19"/>
      <c r="J91" s="19"/>
      <c r="K91" s="19"/>
      <c r="L91" s="19"/>
    </row>
    <row r="92" spans="1:12" x14ac:dyDescent="0.3">
      <c r="A92" s="19"/>
      <c r="B92" s="19"/>
      <c r="C92" s="19"/>
      <c r="D92" s="421"/>
      <c r="E92" s="421"/>
      <c r="F92" s="421"/>
      <c r="G92" s="421"/>
      <c r="H92" s="421"/>
      <c r="I92" s="19"/>
      <c r="J92" s="19"/>
      <c r="K92" s="19"/>
    </row>
    <row r="93" spans="1:12" x14ac:dyDescent="0.3">
      <c r="A93" s="19"/>
      <c r="B93" s="19"/>
      <c r="C93" s="19"/>
      <c r="D93" s="421"/>
      <c r="E93" s="421"/>
      <c r="F93" s="421"/>
      <c r="G93" s="421"/>
      <c r="H93" s="421"/>
      <c r="I93" s="19"/>
      <c r="J93" s="19"/>
      <c r="K93" s="19"/>
    </row>
    <row r="94" spans="1:12" x14ac:dyDescent="0.3">
      <c r="A94" s="19"/>
      <c r="B94" s="19"/>
      <c r="C94" s="19"/>
      <c r="D94" s="421"/>
      <c r="E94" s="421"/>
      <c r="F94" s="421"/>
      <c r="G94" s="421"/>
      <c r="H94" s="421"/>
      <c r="I94" s="19"/>
      <c r="J94" s="19"/>
      <c r="K94" s="19"/>
    </row>
    <row r="95" spans="1:12" x14ac:dyDescent="0.3">
      <c r="A95" s="19"/>
      <c r="B95" s="19"/>
      <c r="C95" s="19"/>
      <c r="D95" s="421"/>
      <c r="E95" s="421"/>
      <c r="F95" s="421"/>
      <c r="G95" s="421"/>
      <c r="H95" s="421"/>
      <c r="I95" s="19"/>
      <c r="J95" s="19"/>
      <c r="K95" s="19"/>
    </row>
    <row r="96" spans="1:12" x14ac:dyDescent="0.3">
      <c r="A96" s="19"/>
      <c r="B96" s="19"/>
      <c r="C96" s="19"/>
      <c r="D96" s="421"/>
      <c r="E96" s="421"/>
      <c r="F96" s="421"/>
      <c r="G96" s="421"/>
      <c r="H96" s="421"/>
      <c r="I96" s="19"/>
      <c r="J96" s="19"/>
      <c r="K96" s="19"/>
    </row>
    <row r="97" spans="1:11" x14ac:dyDescent="0.3">
      <c r="A97" s="19"/>
      <c r="B97" s="19"/>
      <c r="C97" s="19"/>
      <c r="D97" s="421"/>
      <c r="E97" s="421"/>
      <c r="F97" s="421"/>
      <c r="G97" s="421"/>
      <c r="H97" s="421"/>
      <c r="I97" s="19"/>
      <c r="J97" s="19"/>
      <c r="K97" s="19"/>
    </row>
    <row r="98" spans="1:11" x14ac:dyDescent="0.3">
      <c r="A98" s="19"/>
      <c r="B98" s="19"/>
      <c r="C98" s="19"/>
      <c r="D98" s="421"/>
      <c r="E98" s="421"/>
      <c r="F98" s="421"/>
      <c r="G98" s="421"/>
      <c r="H98" s="421"/>
      <c r="I98" s="19"/>
      <c r="J98" s="19"/>
      <c r="K98" s="19"/>
    </row>
    <row r="99" spans="1:11" x14ac:dyDescent="0.3">
      <c r="A99" s="19"/>
      <c r="B99" s="19"/>
      <c r="C99" s="19"/>
      <c r="D99" s="421"/>
      <c r="E99" s="421"/>
      <c r="F99" s="421"/>
      <c r="G99" s="421"/>
      <c r="H99" s="421"/>
      <c r="I99" s="19"/>
      <c r="J99" s="19"/>
      <c r="K99" s="19"/>
    </row>
    <row r="100" spans="1:11" x14ac:dyDescent="0.3">
      <c r="A100" s="19"/>
      <c r="B100" s="19"/>
      <c r="C100" s="19"/>
      <c r="D100" s="421"/>
      <c r="E100" s="421"/>
      <c r="F100" s="421"/>
      <c r="G100" s="421"/>
      <c r="H100" s="421"/>
      <c r="I100" s="19"/>
      <c r="J100" s="19"/>
      <c r="K100" s="19"/>
    </row>
    <row r="101" spans="1:11" x14ac:dyDescent="0.3">
      <c r="A101" s="19"/>
      <c r="B101" s="19"/>
      <c r="C101" s="19"/>
      <c r="D101" s="421"/>
      <c r="E101" s="421"/>
      <c r="F101" s="421"/>
      <c r="G101" s="421"/>
      <c r="H101" s="421"/>
      <c r="I101" s="19"/>
      <c r="J101" s="19"/>
      <c r="K101" s="19"/>
    </row>
    <row r="102" spans="1:11" x14ac:dyDescent="0.3">
      <c r="A102" s="19"/>
      <c r="B102" s="19"/>
      <c r="C102" s="19"/>
      <c r="D102" s="421"/>
      <c r="E102" s="421"/>
      <c r="F102" s="421"/>
      <c r="G102" s="421"/>
      <c r="H102" s="421"/>
      <c r="I102" s="19"/>
      <c r="J102" s="19"/>
      <c r="K102" s="19"/>
    </row>
    <row r="103" spans="1:11" x14ac:dyDescent="0.3">
      <c r="A103" s="19"/>
      <c r="B103" s="19"/>
      <c r="C103" s="19"/>
      <c r="D103" s="421"/>
      <c r="E103" s="421"/>
      <c r="F103" s="421"/>
      <c r="G103" s="421"/>
      <c r="H103" s="421"/>
      <c r="I103" s="19"/>
      <c r="J103" s="19"/>
      <c r="K103" s="19"/>
    </row>
    <row r="104" spans="1:11" x14ac:dyDescent="0.3">
      <c r="A104" s="19"/>
      <c r="B104" s="19"/>
      <c r="C104" s="19"/>
      <c r="D104" s="421"/>
      <c r="E104" s="421"/>
      <c r="F104" s="421"/>
      <c r="G104" s="421"/>
      <c r="H104" s="421"/>
      <c r="I104" s="19"/>
      <c r="J104" s="19"/>
      <c r="K104" s="19"/>
    </row>
    <row r="105" spans="1:11" x14ac:dyDescent="0.3">
      <c r="A105" s="19"/>
      <c r="B105" s="19"/>
      <c r="C105" s="19"/>
      <c r="D105" s="421"/>
      <c r="E105" s="421"/>
      <c r="F105" s="421"/>
      <c r="G105" s="421"/>
      <c r="H105" s="421"/>
      <c r="I105" s="19"/>
      <c r="J105" s="19"/>
      <c r="K105" s="19"/>
    </row>
    <row r="106" spans="1:11" x14ac:dyDescent="0.3">
      <c r="A106" s="19"/>
      <c r="B106" s="19"/>
      <c r="C106" s="19"/>
      <c r="D106" s="421"/>
      <c r="E106" s="421"/>
      <c r="F106" s="421"/>
      <c r="G106" s="421"/>
      <c r="H106" s="421"/>
      <c r="I106" s="19"/>
      <c r="J106" s="19"/>
      <c r="K106" s="19"/>
    </row>
    <row r="107" spans="1:11" x14ac:dyDescent="0.3">
      <c r="A107" s="19"/>
      <c r="B107" s="19"/>
      <c r="C107" s="19"/>
      <c r="D107" s="421"/>
      <c r="E107" s="421"/>
      <c r="F107" s="421"/>
      <c r="G107" s="421"/>
      <c r="H107" s="421"/>
      <c r="I107" s="19"/>
      <c r="J107" s="19"/>
      <c r="K107" s="19"/>
    </row>
    <row r="108" spans="1:11" x14ac:dyDescent="0.3">
      <c r="A108" s="19"/>
      <c r="B108" s="19"/>
      <c r="C108" s="19"/>
      <c r="D108" s="421"/>
      <c r="E108" s="421"/>
      <c r="F108" s="421"/>
      <c r="G108" s="421"/>
      <c r="H108" s="421"/>
      <c r="I108" s="19"/>
      <c r="J108" s="19"/>
      <c r="K108" s="19"/>
    </row>
    <row r="109" spans="1:11" x14ac:dyDescent="0.3">
      <c r="A109" s="19"/>
      <c r="B109" s="19"/>
      <c r="C109" s="19"/>
      <c r="D109" s="421"/>
      <c r="E109" s="421"/>
      <c r="F109" s="421"/>
      <c r="G109" s="421"/>
      <c r="H109" s="421"/>
      <c r="I109" s="19"/>
      <c r="J109" s="19"/>
      <c r="K109" s="19"/>
    </row>
    <row r="110" spans="1:11" x14ac:dyDescent="0.3">
      <c r="A110" s="19"/>
      <c r="B110" s="19"/>
      <c r="C110" s="19"/>
      <c r="D110" s="421"/>
      <c r="E110" s="421"/>
      <c r="F110" s="421"/>
      <c r="G110" s="421"/>
      <c r="H110" s="421"/>
      <c r="I110" s="19"/>
      <c r="J110" s="19"/>
      <c r="K110" s="19"/>
    </row>
    <row r="111" spans="1:11" x14ac:dyDescent="0.3">
      <c r="A111" s="19"/>
      <c r="B111" s="19"/>
      <c r="C111" s="19"/>
      <c r="D111" s="421"/>
      <c r="E111" s="421"/>
      <c r="F111" s="421"/>
      <c r="G111" s="421"/>
      <c r="H111" s="421"/>
      <c r="I111" s="19"/>
      <c r="J111" s="19"/>
      <c r="K111" s="19"/>
    </row>
    <row r="112" spans="1:11" x14ac:dyDescent="0.3">
      <c r="A112" s="19"/>
      <c r="B112" s="19"/>
      <c r="C112" s="19"/>
      <c r="D112" s="421"/>
      <c r="E112" s="421"/>
      <c r="F112" s="421"/>
      <c r="G112" s="421"/>
      <c r="H112" s="421"/>
      <c r="I112" s="19"/>
      <c r="J112" s="19"/>
      <c r="K112" s="19"/>
    </row>
    <row r="113" spans="1:11" x14ac:dyDescent="0.3">
      <c r="A113" s="19"/>
      <c r="B113" s="19"/>
      <c r="C113" s="19"/>
      <c r="D113" s="421"/>
      <c r="E113" s="421"/>
      <c r="F113" s="421"/>
      <c r="G113" s="421"/>
      <c r="H113" s="421"/>
      <c r="I113" s="19"/>
      <c r="J113" s="19"/>
      <c r="K113" s="19"/>
    </row>
    <row r="114" spans="1:11" x14ac:dyDescent="0.3">
      <c r="A114" s="19"/>
      <c r="B114" s="19"/>
      <c r="C114" s="19"/>
      <c r="D114" s="421"/>
      <c r="E114" s="421"/>
      <c r="F114" s="421"/>
      <c r="G114" s="421"/>
      <c r="H114" s="421"/>
      <c r="I114" s="19"/>
      <c r="J114" s="19"/>
      <c r="K114" s="19"/>
    </row>
    <row r="115" spans="1:11" x14ac:dyDescent="0.3">
      <c r="A115" s="19"/>
      <c r="B115" s="19"/>
      <c r="C115" s="19"/>
      <c r="D115" s="421"/>
      <c r="E115" s="421"/>
      <c r="F115" s="421"/>
      <c r="G115" s="421"/>
      <c r="H115" s="421"/>
      <c r="I115" s="19"/>
      <c r="J115" s="19"/>
      <c r="K115" s="19"/>
    </row>
    <row r="116" spans="1:11" x14ac:dyDescent="0.3">
      <c r="A116" s="19"/>
      <c r="B116" s="19"/>
      <c r="C116" s="19"/>
      <c r="D116" s="421"/>
      <c r="E116" s="421"/>
      <c r="F116" s="421"/>
      <c r="G116" s="421"/>
      <c r="H116" s="421"/>
      <c r="I116" s="19"/>
      <c r="J116" s="19"/>
      <c r="K116" s="19"/>
    </row>
    <row r="117" spans="1:11" x14ac:dyDescent="0.3">
      <c r="A117" s="19"/>
      <c r="B117" s="19"/>
      <c r="C117" s="19"/>
      <c r="D117" s="421"/>
      <c r="E117" s="421"/>
      <c r="F117" s="421"/>
      <c r="G117" s="421"/>
      <c r="H117" s="421"/>
      <c r="I117" s="19"/>
      <c r="J117" s="19"/>
      <c r="K117" s="19"/>
    </row>
    <row r="118" spans="1:11" x14ac:dyDescent="0.3">
      <c r="A118" s="19"/>
      <c r="B118" s="19"/>
      <c r="C118" s="19"/>
      <c r="D118" s="421"/>
      <c r="E118" s="421"/>
      <c r="F118" s="421"/>
      <c r="G118" s="421"/>
      <c r="H118" s="421"/>
      <c r="I118" s="19"/>
      <c r="J118" s="19"/>
      <c r="K118" s="19"/>
    </row>
    <row r="119" spans="1:11" x14ac:dyDescent="0.3">
      <c r="A119" s="19"/>
      <c r="B119" s="19"/>
      <c r="C119" s="19"/>
      <c r="D119" s="421"/>
      <c r="E119" s="421"/>
      <c r="F119" s="421"/>
      <c r="G119" s="421"/>
      <c r="H119" s="421"/>
      <c r="I119" s="19"/>
      <c r="J119" s="19"/>
      <c r="K119" s="19"/>
    </row>
    <row r="120" spans="1:11" x14ac:dyDescent="0.3">
      <c r="A120" s="19"/>
      <c r="B120" s="19"/>
      <c r="C120" s="19"/>
      <c r="D120" s="421"/>
      <c r="E120" s="421"/>
      <c r="F120" s="421"/>
      <c r="G120" s="421"/>
      <c r="H120" s="421"/>
      <c r="I120" s="19"/>
      <c r="J120" s="19"/>
      <c r="K120" s="19"/>
    </row>
    <row r="121" spans="1:11" x14ac:dyDescent="0.3">
      <c r="A121" s="19"/>
      <c r="B121" s="19"/>
      <c r="C121" s="19"/>
      <c r="D121" s="421"/>
      <c r="E121" s="421"/>
      <c r="F121" s="421"/>
      <c r="G121" s="421"/>
      <c r="H121" s="421"/>
      <c r="I121" s="19"/>
      <c r="J121" s="19"/>
      <c r="K121" s="19"/>
    </row>
    <row r="122" spans="1:11" x14ac:dyDescent="0.3">
      <c r="A122" s="19"/>
      <c r="B122" s="19"/>
      <c r="C122" s="19"/>
      <c r="D122" s="421"/>
      <c r="E122" s="421"/>
      <c r="F122" s="421"/>
      <c r="G122" s="421"/>
      <c r="H122" s="421"/>
      <c r="I122" s="19"/>
      <c r="J122" s="19"/>
      <c r="K122" s="19"/>
    </row>
    <row r="123" spans="1:11" x14ac:dyDescent="0.3">
      <c r="A123" s="19"/>
      <c r="B123" s="19"/>
      <c r="C123" s="19"/>
      <c r="D123" s="421"/>
      <c r="E123" s="421"/>
      <c r="F123" s="421"/>
      <c r="G123" s="421"/>
      <c r="H123" s="421"/>
      <c r="I123" s="19"/>
      <c r="J123" s="19"/>
      <c r="K123" s="19"/>
    </row>
    <row r="124" spans="1:11" x14ac:dyDescent="0.3">
      <c r="A124" s="19"/>
      <c r="B124" s="19"/>
      <c r="C124" s="19"/>
      <c r="D124" s="421"/>
      <c r="E124" s="421"/>
      <c r="F124" s="421"/>
      <c r="G124" s="421"/>
      <c r="H124" s="421"/>
      <c r="I124" s="19"/>
      <c r="J124" s="19"/>
      <c r="K124" s="19"/>
    </row>
    <row r="125" spans="1:11" x14ac:dyDescent="0.3">
      <c r="A125" s="19"/>
      <c r="B125" s="19"/>
      <c r="C125" s="19"/>
      <c r="D125" s="421"/>
      <c r="E125" s="421"/>
      <c r="F125" s="421"/>
      <c r="G125" s="421"/>
      <c r="H125" s="421"/>
      <c r="I125" s="19"/>
      <c r="J125" s="19"/>
      <c r="K125" s="19"/>
    </row>
    <row r="126" spans="1:11" x14ac:dyDescent="0.3">
      <c r="A126" s="19"/>
      <c r="B126" s="19"/>
      <c r="C126" s="19"/>
      <c r="D126" s="421"/>
      <c r="E126" s="421"/>
      <c r="F126" s="421"/>
      <c r="G126" s="421"/>
      <c r="H126" s="421"/>
      <c r="I126" s="19"/>
      <c r="J126" s="19"/>
      <c r="K126" s="19"/>
    </row>
    <row r="127" spans="1:11" x14ac:dyDescent="0.3">
      <c r="A127" s="19"/>
      <c r="B127" s="19"/>
      <c r="H127" s="421"/>
      <c r="I127" s="19"/>
      <c r="J127" s="19"/>
      <c r="K127" s="19"/>
    </row>
    <row r="128" spans="1:11" x14ac:dyDescent="0.3">
      <c r="A128" s="19"/>
      <c r="B128" s="19"/>
      <c r="H128" s="421"/>
      <c r="I128" s="19"/>
      <c r="J128" s="19"/>
      <c r="K128" s="19"/>
    </row>
    <row r="129" spans="1:11" x14ac:dyDescent="0.3">
      <c r="A129" s="19"/>
      <c r="B129" s="19"/>
      <c r="H129" s="421"/>
      <c r="I129" s="19"/>
      <c r="J129" s="19"/>
      <c r="K129" s="19"/>
    </row>
    <row r="130" spans="1:11" x14ac:dyDescent="0.3">
      <c r="A130" s="19"/>
      <c r="B130" s="19"/>
      <c r="H130" s="421"/>
      <c r="I130" s="19"/>
      <c r="J130" s="19"/>
      <c r="K130" s="19"/>
    </row>
    <row r="131" spans="1:11" x14ac:dyDescent="0.3">
      <c r="A131" s="19"/>
      <c r="B131" s="19"/>
      <c r="H131" s="421"/>
      <c r="I131" s="19"/>
      <c r="J131" s="19"/>
      <c r="K131" s="19"/>
    </row>
    <row r="132" spans="1:11" x14ac:dyDescent="0.3">
      <c r="A132" s="19"/>
      <c r="B132" s="19"/>
      <c r="H132" s="421"/>
      <c r="I132" s="19"/>
      <c r="J132" s="19"/>
      <c r="K132" s="19"/>
    </row>
    <row r="133" spans="1:11" x14ac:dyDescent="0.3">
      <c r="A133" s="19"/>
      <c r="B133" s="19"/>
      <c r="H133" s="421"/>
      <c r="I133" s="19"/>
      <c r="J133" s="19"/>
      <c r="K133" s="19"/>
    </row>
    <row r="134" spans="1:11" x14ac:dyDescent="0.3">
      <c r="A134" s="19"/>
      <c r="B134" s="19"/>
      <c r="H134" s="421"/>
      <c r="I134" s="19"/>
      <c r="J134" s="19"/>
      <c r="K134" s="19"/>
    </row>
    <row r="135" spans="1:11" x14ac:dyDescent="0.3">
      <c r="A135" s="19"/>
      <c r="B135" s="19"/>
      <c r="H135" s="421"/>
      <c r="I135" s="19"/>
      <c r="J135" s="19"/>
      <c r="K135" s="19"/>
    </row>
    <row r="136" spans="1:11" x14ac:dyDescent="0.3">
      <c r="B136" s="19"/>
      <c r="J136" s="19"/>
    </row>
  </sheetData>
  <mergeCells count="89">
    <mergeCell ref="D48:E48"/>
    <mergeCell ref="F48:G48"/>
    <mergeCell ref="D52:E52"/>
    <mergeCell ref="D49:E49"/>
    <mergeCell ref="F49:G49"/>
    <mergeCell ref="D50:E50"/>
    <mergeCell ref="F50:G50"/>
    <mergeCell ref="D51:E51"/>
    <mergeCell ref="F51:G52"/>
    <mergeCell ref="D23:E23"/>
    <mergeCell ref="F22:G23"/>
    <mergeCell ref="D41:E41"/>
    <mergeCell ref="F41:G41"/>
    <mergeCell ref="D42:E42"/>
    <mergeCell ref="F36:G36"/>
    <mergeCell ref="F37:G39"/>
    <mergeCell ref="D38:E38"/>
    <mergeCell ref="D39:E39"/>
    <mergeCell ref="D22:E22"/>
    <mergeCell ref="F42:G43"/>
    <mergeCell ref="D31:I34"/>
    <mergeCell ref="D37:E37"/>
    <mergeCell ref="D36:E36"/>
    <mergeCell ref="D43:E43"/>
    <mergeCell ref="H40:H41"/>
    <mergeCell ref="F19:G19"/>
    <mergeCell ref="D20:E20"/>
    <mergeCell ref="F20:G20"/>
    <mergeCell ref="D13:E13"/>
    <mergeCell ref="F13:G14"/>
    <mergeCell ref="D14:E14"/>
    <mergeCell ref="C3:I3"/>
    <mergeCell ref="C4:I4"/>
    <mergeCell ref="C30:H30"/>
    <mergeCell ref="D8:E8"/>
    <mergeCell ref="D7:E7"/>
    <mergeCell ref="F7:G7"/>
    <mergeCell ref="E27:H27"/>
    <mergeCell ref="E28:H28"/>
    <mergeCell ref="D26:I26"/>
    <mergeCell ref="F8:G10"/>
    <mergeCell ref="D9:E9"/>
    <mergeCell ref="D10:E10"/>
    <mergeCell ref="D11:E11"/>
    <mergeCell ref="F11:G11"/>
    <mergeCell ref="F21:G21"/>
    <mergeCell ref="D19:E19"/>
    <mergeCell ref="G77:I77"/>
    <mergeCell ref="F60:G60"/>
    <mergeCell ref="G72:I72"/>
    <mergeCell ref="G73:I73"/>
    <mergeCell ref="G74:I74"/>
    <mergeCell ref="G75:I75"/>
    <mergeCell ref="G76:I76"/>
    <mergeCell ref="E65:H65"/>
    <mergeCell ref="D60:E60"/>
    <mergeCell ref="F61:G61"/>
    <mergeCell ref="E64:H64"/>
    <mergeCell ref="D67:E67"/>
    <mergeCell ref="H13:H14"/>
    <mergeCell ref="H22:H23"/>
    <mergeCell ref="H11:H12"/>
    <mergeCell ref="F67:I69"/>
    <mergeCell ref="E56:H56"/>
    <mergeCell ref="D58:E58"/>
    <mergeCell ref="D61:E61"/>
    <mergeCell ref="F58:G58"/>
    <mergeCell ref="D59:E59"/>
    <mergeCell ref="F59:G59"/>
    <mergeCell ref="D12:E12"/>
    <mergeCell ref="F12:G12"/>
    <mergeCell ref="E55:H55"/>
    <mergeCell ref="D40:E40"/>
    <mergeCell ref="F40:G40"/>
    <mergeCell ref="D21:E21"/>
    <mergeCell ref="H15:H16"/>
    <mergeCell ref="D15:E16"/>
    <mergeCell ref="F15:G16"/>
    <mergeCell ref="I15:I16"/>
    <mergeCell ref="H17:H18"/>
    <mergeCell ref="D17:E18"/>
    <mergeCell ref="F17:G18"/>
    <mergeCell ref="I17:I18"/>
    <mergeCell ref="H44:H45"/>
    <mergeCell ref="D44:E45"/>
    <mergeCell ref="F44:G45"/>
    <mergeCell ref="H46:H47"/>
    <mergeCell ref="D46:E47"/>
    <mergeCell ref="F46:G47"/>
  </mergeCells>
  <hyperlinks>
    <hyperlink ref="E28" r:id="rId1"/>
    <hyperlink ref="E56" r:id="rId2"/>
  </hyperlinks>
  <pageMargins left="0.2" right="0.21" top="0.17" bottom="0.17" header="0.17" footer="0.17"/>
  <pageSetup scale="50"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pageSetUpPr fitToPage="1"/>
  </sheetPr>
  <dimension ref="B1:K37"/>
  <sheetViews>
    <sheetView zoomScale="70" zoomScaleNormal="70" workbookViewId="0">
      <selection activeCell="G13" sqref="G13"/>
    </sheetView>
  </sheetViews>
  <sheetFormatPr defaultColWidth="9.08984375" defaultRowHeight="14" x14ac:dyDescent="0.3"/>
  <cols>
    <col min="1" max="1" width="1.453125" style="13" customWidth="1"/>
    <col min="2" max="2" width="1.90625" style="13" customWidth="1"/>
    <col min="3" max="3" width="11.453125" style="13" customWidth="1"/>
    <col min="4" max="4" width="11.54296875" style="14" customWidth="1"/>
    <col min="5" max="5" width="12.90625" style="14" customWidth="1"/>
    <col min="6" max="6" width="19.54296875" style="446" customWidth="1"/>
    <col min="7" max="7" width="172.36328125" style="446" customWidth="1"/>
    <col min="8" max="8" width="34.36328125" style="446" customWidth="1"/>
    <col min="9" max="10" width="1.6328125" style="13" customWidth="1"/>
    <col min="11" max="11" width="9.08984375" style="13"/>
    <col min="12" max="12" width="9.54296875" style="13" bestFit="1" customWidth="1"/>
    <col min="13" max="16384" width="9.08984375" style="13"/>
  </cols>
  <sheetData>
    <row r="1" spans="2:9" customFormat="1" ht="15" thickBot="1" x14ac:dyDescent="0.4">
      <c r="F1" s="442"/>
      <c r="G1" s="442"/>
      <c r="H1" s="442"/>
    </row>
    <row r="2" spans="2:9" ht="14.5" thickBot="1" x14ac:dyDescent="0.35">
      <c r="B2" s="172"/>
      <c r="C2" s="173"/>
      <c r="D2" s="173"/>
      <c r="E2" s="173"/>
      <c r="F2" s="443"/>
      <c r="G2" s="443"/>
      <c r="H2" s="443"/>
      <c r="I2" s="48"/>
    </row>
    <row r="3" spans="2:9" ht="14.5" thickBot="1" x14ac:dyDescent="0.35">
      <c r="B3" s="70"/>
      <c r="C3" s="1177" t="s">
        <v>557</v>
      </c>
      <c r="D3" s="1266"/>
      <c r="E3" s="1266"/>
      <c r="F3" s="1266"/>
      <c r="G3" s="1266"/>
      <c r="H3" s="1267"/>
      <c r="I3" s="174"/>
    </row>
    <row r="4" spans="2:9" x14ac:dyDescent="0.3">
      <c r="B4" s="175"/>
      <c r="C4" s="1268" t="s">
        <v>558</v>
      </c>
      <c r="D4" s="1268"/>
      <c r="E4" s="1268"/>
      <c r="F4" s="1268"/>
      <c r="G4" s="1268"/>
      <c r="H4" s="1268"/>
      <c r="I4" s="50"/>
    </row>
    <row r="5" spans="2:9" x14ac:dyDescent="0.3">
      <c r="B5" s="175"/>
      <c r="C5" s="1269"/>
      <c r="D5" s="1269"/>
      <c r="E5" s="1269"/>
      <c r="F5" s="1269"/>
      <c r="G5" s="1269"/>
      <c r="H5" s="1269"/>
      <c r="I5" s="50"/>
    </row>
    <row r="6" spans="2:9" ht="30.75" customHeight="1" thickBot="1" x14ac:dyDescent="0.35">
      <c r="B6" s="175"/>
      <c r="C6" s="1273" t="s">
        <v>559</v>
      </c>
      <c r="D6" s="1273"/>
      <c r="E6" s="50"/>
      <c r="F6" s="444"/>
      <c r="G6" s="444"/>
      <c r="H6" s="444"/>
      <c r="I6" s="50"/>
    </row>
    <row r="7" spans="2:9" ht="30" customHeight="1" thickBot="1" x14ac:dyDescent="0.35">
      <c r="B7" s="175"/>
      <c r="C7" s="88" t="s">
        <v>560</v>
      </c>
      <c r="D7" s="1270" t="s">
        <v>561</v>
      </c>
      <c r="E7" s="1271"/>
      <c r="F7" s="458" t="s">
        <v>562</v>
      </c>
      <c r="G7" s="459" t="s">
        <v>563</v>
      </c>
      <c r="H7" s="458" t="s">
        <v>564</v>
      </c>
      <c r="I7" s="50"/>
    </row>
    <row r="8" spans="2:9" ht="108.75" customHeight="1" x14ac:dyDescent="0.3">
      <c r="B8" s="178"/>
      <c r="C8" s="194" t="s">
        <v>565</v>
      </c>
      <c r="D8" s="1272" t="s">
        <v>566</v>
      </c>
      <c r="E8" s="1272"/>
      <c r="F8" s="460" t="s">
        <v>567</v>
      </c>
      <c r="G8" s="463" t="s">
        <v>1563</v>
      </c>
      <c r="H8" s="460" t="s">
        <v>568</v>
      </c>
      <c r="I8" s="181"/>
    </row>
    <row r="9" spans="2:9" ht="145.5" customHeight="1" x14ac:dyDescent="0.3">
      <c r="B9" s="178"/>
      <c r="C9" s="284" t="s">
        <v>565</v>
      </c>
      <c r="D9" s="1226" t="s">
        <v>569</v>
      </c>
      <c r="E9" s="1226"/>
      <c r="F9" s="461" t="s">
        <v>570</v>
      </c>
      <c r="G9" s="463" t="s">
        <v>1564</v>
      </c>
      <c r="H9" s="461" t="s">
        <v>571</v>
      </c>
      <c r="I9" s="181"/>
    </row>
    <row r="10" spans="2:9" ht="181.5" customHeight="1" x14ac:dyDescent="0.3">
      <c r="B10" s="178"/>
      <c r="C10" s="284" t="s">
        <v>572</v>
      </c>
      <c r="D10" s="1226" t="s">
        <v>573</v>
      </c>
      <c r="E10" s="1226"/>
      <c r="F10" s="461" t="s">
        <v>574</v>
      </c>
      <c r="G10" s="463" t="s">
        <v>1565</v>
      </c>
      <c r="H10" s="461" t="s">
        <v>575</v>
      </c>
      <c r="I10" s="181"/>
    </row>
    <row r="11" spans="2:9" ht="114.75" customHeight="1" x14ac:dyDescent="0.3">
      <c r="B11" s="178"/>
      <c r="C11" s="284" t="s">
        <v>576</v>
      </c>
      <c r="D11" s="1226" t="s">
        <v>577</v>
      </c>
      <c r="E11" s="1226"/>
      <c r="F11" s="461" t="s">
        <v>578</v>
      </c>
      <c r="G11" s="633" t="s">
        <v>1606</v>
      </c>
      <c r="H11" s="461" t="s">
        <v>579</v>
      </c>
      <c r="I11" s="181"/>
    </row>
    <row r="12" spans="2:9" ht="98" x14ac:dyDescent="0.3">
      <c r="B12" s="178"/>
      <c r="C12" s="284" t="s">
        <v>580</v>
      </c>
      <c r="D12" s="1226" t="s">
        <v>581</v>
      </c>
      <c r="E12" s="1226"/>
      <c r="F12" s="461" t="s">
        <v>582</v>
      </c>
      <c r="G12" s="633" t="s">
        <v>1627</v>
      </c>
      <c r="H12" s="461" t="s">
        <v>583</v>
      </c>
      <c r="I12" s="181"/>
    </row>
    <row r="13" spans="2:9" ht="321.75" customHeight="1" x14ac:dyDescent="0.3">
      <c r="B13" s="178"/>
      <c r="C13" s="284" t="s">
        <v>584</v>
      </c>
      <c r="D13" s="1226" t="s">
        <v>585</v>
      </c>
      <c r="E13" s="1226"/>
      <c r="F13" s="461" t="s">
        <v>586</v>
      </c>
      <c r="G13" s="463" t="s">
        <v>1625</v>
      </c>
      <c r="H13" s="958" t="s">
        <v>1626</v>
      </c>
      <c r="I13" s="181"/>
    </row>
    <row r="14" spans="2:9" ht="98" x14ac:dyDescent="0.3">
      <c r="B14" s="178"/>
      <c r="C14" s="284" t="s">
        <v>587</v>
      </c>
      <c r="D14" s="1226" t="s">
        <v>588</v>
      </c>
      <c r="E14" s="1226"/>
      <c r="F14" s="461" t="s">
        <v>589</v>
      </c>
      <c r="G14" s="1276" t="s">
        <v>1566</v>
      </c>
      <c r="H14" s="461" t="s">
        <v>590</v>
      </c>
      <c r="I14" s="181"/>
    </row>
    <row r="15" spans="2:9" ht="164.25" customHeight="1" x14ac:dyDescent="0.3">
      <c r="B15" s="178"/>
      <c r="C15" s="284" t="s">
        <v>587</v>
      </c>
      <c r="D15" s="1226" t="s">
        <v>591</v>
      </c>
      <c r="E15" s="1226"/>
      <c r="F15" s="461" t="s">
        <v>592</v>
      </c>
      <c r="G15" s="1276"/>
      <c r="H15" s="463" t="s">
        <v>593</v>
      </c>
      <c r="I15" s="181"/>
    </row>
    <row r="16" spans="2:9" ht="326.25" customHeight="1" x14ac:dyDescent="0.3">
      <c r="B16" s="178"/>
      <c r="C16" s="284" t="s">
        <v>587</v>
      </c>
      <c r="D16" s="1226" t="s">
        <v>594</v>
      </c>
      <c r="E16" s="1226"/>
      <c r="F16" s="461" t="s">
        <v>595</v>
      </c>
      <c r="G16" s="463" t="s">
        <v>1567</v>
      </c>
      <c r="H16" s="461" t="s">
        <v>596</v>
      </c>
      <c r="I16" s="181"/>
    </row>
    <row r="17" spans="2:11" ht="56" x14ac:dyDescent="0.3">
      <c r="B17" s="178"/>
      <c r="C17" s="284" t="s">
        <v>597</v>
      </c>
      <c r="D17" s="1226" t="s">
        <v>598</v>
      </c>
      <c r="E17" s="1226"/>
      <c r="F17" s="461" t="s">
        <v>599</v>
      </c>
      <c r="G17" s="1255" t="s">
        <v>1568</v>
      </c>
      <c r="H17" s="461" t="s">
        <v>600</v>
      </c>
      <c r="I17" s="181"/>
    </row>
    <row r="18" spans="2:11" ht="70" x14ac:dyDescent="0.3">
      <c r="B18" s="178"/>
      <c r="C18" s="284" t="s">
        <v>601</v>
      </c>
      <c r="D18" s="1226" t="s">
        <v>602</v>
      </c>
      <c r="E18" s="1226"/>
      <c r="F18" s="461" t="s">
        <v>603</v>
      </c>
      <c r="G18" s="1278"/>
      <c r="H18" s="461" t="s">
        <v>604</v>
      </c>
      <c r="I18" s="181"/>
    </row>
    <row r="19" spans="2:11" ht="181.5" customHeight="1" x14ac:dyDescent="0.3">
      <c r="B19" s="178"/>
      <c r="C19" s="284" t="s">
        <v>605</v>
      </c>
      <c r="D19" s="1226" t="s">
        <v>606</v>
      </c>
      <c r="E19" s="1226"/>
      <c r="F19" s="461" t="s">
        <v>607</v>
      </c>
      <c r="G19" s="464" t="s">
        <v>1607</v>
      </c>
      <c r="H19" s="461" t="s">
        <v>608</v>
      </c>
      <c r="I19" s="181"/>
      <c r="K19" s="195"/>
    </row>
    <row r="20" spans="2:11" ht="165.75" customHeight="1" x14ac:dyDescent="0.3">
      <c r="B20" s="178"/>
      <c r="C20" s="284" t="s">
        <v>609</v>
      </c>
      <c r="D20" s="1226" t="s">
        <v>610</v>
      </c>
      <c r="E20" s="1226"/>
      <c r="F20" s="461" t="s">
        <v>611</v>
      </c>
      <c r="G20" s="463" t="s">
        <v>1569</v>
      </c>
      <c r="H20" s="461" t="s">
        <v>612</v>
      </c>
      <c r="I20" s="181"/>
    </row>
    <row r="21" spans="2:11" ht="100.5" customHeight="1" x14ac:dyDescent="0.3">
      <c r="B21" s="178"/>
      <c r="C21" s="284" t="s">
        <v>613</v>
      </c>
      <c r="D21" s="1226" t="s">
        <v>614</v>
      </c>
      <c r="E21" s="1226"/>
      <c r="F21" s="461" t="s">
        <v>615</v>
      </c>
      <c r="G21" s="463" t="s">
        <v>1570</v>
      </c>
      <c r="H21" s="461" t="s">
        <v>616</v>
      </c>
      <c r="I21" s="181"/>
    </row>
    <row r="22" spans="2:11" ht="132" customHeight="1" x14ac:dyDescent="0.3">
      <c r="B22" s="178"/>
      <c r="C22" s="284" t="s">
        <v>613</v>
      </c>
      <c r="D22" s="1226" t="s">
        <v>617</v>
      </c>
      <c r="E22" s="1226"/>
      <c r="F22" s="461" t="s">
        <v>618</v>
      </c>
      <c r="G22" s="1277" t="s">
        <v>1571</v>
      </c>
      <c r="H22" s="461" t="s">
        <v>619</v>
      </c>
      <c r="I22" s="181"/>
    </row>
    <row r="23" spans="2:11" ht="132" customHeight="1" x14ac:dyDescent="0.3">
      <c r="B23" s="178"/>
      <c r="C23" s="284" t="s">
        <v>620</v>
      </c>
      <c r="D23" s="1226" t="s">
        <v>621</v>
      </c>
      <c r="E23" s="1226"/>
      <c r="F23" s="461" t="s">
        <v>618</v>
      </c>
      <c r="G23" s="1277"/>
      <c r="H23" s="1262" t="s">
        <v>622</v>
      </c>
      <c r="I23" s="181"/>
    </row>
    <row r="24" spans="2:11" ht="28" x14ac:dyDescent="0.3">
      <c r="B24" s="178"/>
      <c r="C24" s="284" t="s">
        <v>620</v>
      </c>
      <c r="D24" s="1226" t="s">
        <v>623</v>
      </c>
      <c r="E24" s="1226"/>
      <c r="F24" s="456" t="s">
        <v>624</v>
      </c>
      <c r="G24" s="1277"/>
      <c r="H24" s="1263"/>
      <c r="I24" s="181"/>
    </row>
    <row r="25" spans="2:11" ht="190.5" customHeight="1" x14ac:dyDescent="0.3">
      <c r="B25" s="178"/>
      <c r="C25" s="284" t="s">
        <v>625</v>
      </c>
      <c r="D25" s="1226" t="s">
        <v>626</v>
      </c>
      <c r="E25" s="1226"/>
      <c r="F25" s="456" t="s">
        <v>627</v>
      </c>
      <c r="G25" s="465" t="s">
        <v>1572</v>
      </c>
      <c r="H25" s="457" t="s">
        <v>628</v>
      </c>
      <c r="I25" s="181"/>
    </row>
    <row r="26" spans="2:11" ht="98" x14ac:dyDescent="0.3">
      <c r="B26" s="178"/>
      <c r="C26" s="284" t="s">
        <v>629</v>
      </c>
      <c r="D26" s="1226" t="s">
        <v>630</v>
      </c>
      <c r="E26" s="1226"/>
      <c r="F26" s="461" t="s">
        <v>631</v>
      </c>
      <c r="G26" s="1255" t="s">
        <v>1573</v>
      </c>
      <c r="H26" s="461" t="s">
        <v>632</v>
      </c>
      <c r="I26" s="181"/>
    </row>
    <row r="27" spans="2:11" ht="98" x14ac:dyDescent="0.3">
      <c r="B27" s="178"/>
      <c r="C27" s="284" t="s">
        <v>629</v>
      </c>
      <c r="D27" s="1226" t="s">
        <v>633</v>
      </c>
      <c r="E27" s="1226"/>
      <c r="F27" s="461" t="s">
        <v>634</v>
      </c>
      <c r="G27" s="1256"/>
      <c r="H27" s="461" t="s">
        <v>635</v>
      </c>
      <c r="I27" s="181"/>
    </row>
    <row r="28" spans="2:11" ht="231.75" customHeight="1" x14ac:dyDescent="0.3">
      <c r="B28" s="178"/>
      <c r="C28" s="284" t="s">
        <v>636</v>
      </c>
      <c r="D28" s="1226" t="s">
        <v>637</v>
      </c>
      <c r="E28" s="1226"/>
      <c r="F28" s="461" t="s">
        <v>638</v>
      </c>
      <c r="G28" s="466" t="s">
        <v>1574</v>
      </c>
      <c r="H28" s="461" t="s">
        <v>959</v>
      </c>
      <c r="I28" s="181"/>
    </row>
    <row r="29" spans="2:11" ht="25.5" customHeight="1" x14ac:dyDescent="0.3">
      <c r="B29" s="178"/>
      <c r="C29" s="1257" t="s">
        <v>639</v>
      </c>
      <c r="D29" s="1258" t="s">
        <v>640</v>
      </c>
      <c r="E29" s="1259"/>
      <c r="F29" s="1262" t="s">
        <v>641</v>
      </c>
      <c r="G29" s="1264" t="s">
        <v>1575</v>
      </c>
      <c r="H29" s="1262" t="s">
        <v>642</v>
      </c>
      <c r="I29" s="181"/>
    </row>
    <row r="30" spans="2:11" ht="408.75" customHeight="1" x14ac:dyDescent="0.3">
      <c r="B30" s="178"/>
      <c r="C30" s="1257"/>
      <c r="D30" s="1260"/>
      <c r="E30" s="1261"/>
      <c r="F30" s="1263"/>
      <c r="G30" s="1265"/>
      <c r="H30" s="1263"/>
      <c r="I30" s="181"/>
    </row>
    <row r="31" spans="2:11" ht="299.25" customHeight="1" x14ac:dyDescent="0.3">
      <c r="B31" s="178"/>
      <c r="C31" s="284" t="s">
        <v>643</v>
      </c>
      <c r="D31" s="1275" t="s">
        <v>644</v>
      </c>
      <c r="E31" s="1275"/>
      <c r="F31" s="461" t="s">
        <v>645</v>
      </c>
      <c r="G31" s="467" t="s">
        <v>1576</v>
      </c>
      <c r="H31" s="461" t="s">
        <v>646</v>
      </c>
      <c r="I31" s="181"/>
    </row>
    <row r="32" spans="2:11" ht="186" customHeight="1" x14ac:dyDescent="0.3">
      <c r="B32" s="178"/>
      <c r="C32" s="284" t="s">
        <v>647</v>
      </c>
      <c r="D32" s="1275" t="s">
        <v>648</v>
      </c>
      <c r="E32" s="1275"/>
      <c r="F32" s="461" t="s">
        <v>649</v>
      </c>
      <c r="G32" s="462" t="s">
        <v>956</v>
      </c>
      <c r="H32" s="461" t="s">
        <v>650</v>
      </c>
      <c r="I32" s="181"/>
    </row>
    <row r="33" spans="2:9" ht="84" x14ac:dyDescent="0.3">
      <c r="B33" s="178"/>
      <c r="C33" s="284" t="s">
        <v>647</v>
      </c>
      <c r="D33" s="1275" t="s">
        <v>651</v>
      </c>
      <c r="E33" s="1275"/>
      <c r="F33" s="461" t="s">
        <v>652</v>
      </c>
      <c r="G33" s="462" t="s">
        <v>1577</v>
      </c>
      <c r="H33" s="461" t="s">
        <v>653</v>
      </c>
      <c r="I33" s="181"/>
    </row>
    <row r="34" spans="2:9" ht="70" x14ac:dyDescent="0.3">
      <c r="B34" s="178"/>
      <c r="C34" s="284" t="s">
        <v>654</v>
      </c>
      <c r="D34" s="1226" t="s">
        <v>655</v>
      </c>
      <c r="E34" s="1226"/>
      <c r="F34" s="461" t="s">
        <v>656</v>
      </c>
      <c r="G34" s="462" t="s">
        <v>1578</v>
      </c>
      <c r="H34" s="461" t="s">
        <v>657</v>
      </c>
      <c r="I34" s="181"/>
    </row>
    <row r="35" spans="2:9" ht="263.25" customHeight="1" x14ac:dyDescent="0.3">
      <c r="B35" s="178"/>
      <c r="C35" s="284" t="s">
        <v>658</v>
      </c>
      <c r="D35" s="1275" t="s">
        <v>659</v>
      </c>
      <c r="E35" s="1275"/>
      <c r="F35" s="461" t="s">
        <v>660</v>
      </c>
      <c r="G35" s="940" t="s">
        <v>1605</v>
      </c>
      <c r="H35" s="461" t="s">
        <v>661</v>
      </c>
      <c r="I35" s="181"/>
    </row>
    <row r="36" spans="2:9" ht="156" customHeight="1" thickBot="1" x14ac:dyDescent="0.35">
      <c r="B36" s="178"/>
      <c r="C36" s="196" t="s">
        <v>658</v>
      </c>
      <c r="D36" s="1274" t="s">
        <v>662</v>
      </c>
      <c r="E36" s="1274"/>
      <c r="F36" s="468" t="s">
        <v>663</v>
      </c>
      <c r="G36" s="634" t="s">
        <v>1579</v>
      </c>
      <c r="H36" s="468" t="s">
        <v>664</v>
      </c>
      <c r="I36" s="181"/>
    </row>
    <row r="37" spans="2:9" ht="14.5" thickBot="1" x14ac:dyDescent="0.35">
      <c r="B37" s="197"/>
      <c r="C37" s="198"/>
      <c r="D37" s="441"/>
      <c r="E37" s="441"/>
      <c r="F37" s="445"/>
      <c r="G37" s="445"/>
      <c r="H37" s="445"/>
      <c r="I37" s="199"/>
    </row>
  </sheetData>
  <mergeCells count="42">
    <mergeCell ref="G14:G15"/>
    <mergeCell ref="G22:G24"/>
    <mergeCell ref="H23:H24"/>
    <mergeCell ref="D16:E16"/>
    <mergeCell ref="D17:E17"/>
    <mergeCell ref="D18:E18"/>
    <mergeCell ref="D19:E19"/>
    <mergeCell ref="D20:E20"/>
    <mergeCell ref="G17:G18"/>
    <mergeCell ref="D36:E36"/>
    <mergeCell ref="D23:E23"/>
    <mergeCell ref="D34:E34"/>
    <mergeCell ref="D35:E35"/>
    <mergeCell ref="D28:E28"/>
    <mergeCell ref="D26:E26"/>
    <mergeCell ref="D32:E32"/>
    <mergeCell ref="D33:E33"/>
    <mergeCell ref="D31:E31"/>
    <mergeCell ref="D24:E24"/>
    <mergeCell ref="D25:E25"/>
    <mergeCell ref="D27:E27"/>
    <mergeCell ref="H29:H30"/>
    <mergeCell ref="C3:H3"/>
    <mergeCell ref="C4:H4"/>
    <mergeCell ref="C5:H5"/>
    <mergeCell ref="D7:E7"/>
    <mergeCell ref="D8:E8"/>
    <mergeCell ref="C6:D6"/>
    <mergeCell ref="D9:E9"/>
    <mergeCell ref="D10:E10"/>
    <mergeCell ref="D21:E21"/>
    <mergeCell ref="D22:E22"/>
    <mergeCell ref="D11:E11"/>
    <mergeCell ref="D12:E12"/>
    <mergeCell ref="D13:E13"/>
    <mergeCell ref="D14:E14"/>
    <mergeCell ref="D15:E15"/>
    <mergeCell ref="G26:G27"/>
    <mergeCell ref="C29:C30"/>
    <mergeCell ref="D29:E30"/>
    <mergeCell ref="F29:F30"/>
    <mergeCell ref="G29:G30"/>
  </mergeCells>
  <pageMargins left="0.25" right="0.25" top="0.17" bottom="0.17" header="0.17" footer="0.17"/>
  <pageSetup scale="5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pageSetUpPr fitToPage="1"/>
  </sheetPr>
  <dimension ref="B1:S287"/>
  <sheetViews>
    <sheetView showGridLines="0" topLeftCell="B45" zoomScale="70" zoomScaleNormal="70" workbookViewId="0">
      <selection activeCell="D62" sqref="D62"/>
    </sheetView>
  </sheetViews>
  <sheetFormatPr defaultColWidth="9.08984375" defaultRowHeight="14.5" x14ac:dyDescent="0.35"/>
  <cols>
    <col min="1" max="1" width="3" style="89" customWidth="1"/>
    <col min="2" max="2" width="28.54296875" style="89" customWidth="1"/>
    <col min="3" max="3" width="50.54296875" style="89" customWidth="1"/>
    <col min="4" max="4" width="34.36328125" style="89" customWidth="1"/>
    <col min="5" max="5" width="32" style="89" customWidth="1"/>
    <col min="6" max="6" width="26.6328125" style="89" customWidth="1"/>
    <col min="7" max="7" width="26.453125" style="89" bestFit="1" customWidth="1"/>
    <col min="8" max="8" width="30" style="89" customWidth="1"/>
    <col min="9" max="9" width="26.08984375" style="89" customWidth="1"/>
    <col min="10" max="10" width="25.90625" style="89" customWidth="1"/>
    <col min="11" max="11" width="31" style="89" bestFit="1" customWidth="1"/>
    <col min="12" max="12" width="30.36328125" style="89" customWidth="1"/>
    <col min="13" max="13" width="27.08984375" style="89" bestFit="1" customWidth="1"/>
    <col min="14" max="14" width="25" style="89" customWidth="1"/>
    <col min="15" max="15" width="25.90625" style="89" bestFit="1" customWidth="1"/>
    <col min="16" max="16" width="30.36328125" style="89" customWidth="1"/>
    <col min="17" max="17" width="27.08984375" style="89" bestFit="1" customWidth="1"/>
    <col min="18" max="18" width="24.36328125" style="89" customWidth="1"/>
    <col min="19" max="19" width="23.08984375" style="89" bestFit="1" customWidth="1"/>
    <col min="20" max="20" width="27.6328125" style="89" customWidth="1"/>
    <col min="21" max="16384" width="9.08984375" style="89"/>
  </cols>
  <sheetData>
    <row r="1" spans="2:19" ht="15" thickBot="1" x14ac:dyDescent="0.4"/>
    <row r="2" spans="2:19" ht="26" x14ac:dyDescent="0.35">
      <c r="B2" s="65"/>
      <c r="C2" s="1380"/>
      <c r="D2" s="1380"/>
      <c r="E2" s="1380"/>
      <c r="F2" s="1380"/>
      <c r="G2" s="1380"/>
      <c r="H2" s="60"/>
      <c r="I2" s="60"/>
      <c r="J2" s="60"/>
      <c r="K2" s="60"/>
      <c r="L2" s="60"/>
      <c r="M2" s="60"/>
      <c r="N2" s="60"/>
      <c r="O2" s="60"/>
      <c r="P2" s="60"/>
      <c r="Q2" s="60"/>
      <c r="R2" s="60"/>
      <c r="S2" s="61"/>
    </row>
    <row r="3" spans="2:19" ht="26" x14ac:dyDescent="0.35">
      <c r="B3" s="66"/>
      <c r="C3" s="1386" t="s">
        <v>665</v>
      </c>
      <c r="D3" s="1387"/>
      <c r="E3" s="1387"/>
      <c r="F3" s="1387"/>
      <c r="G3" s="1388"/>
      <c r="H3" s="63"/>
      <c r="I3" s="63"/>
      <c r="J3" s="63"/>
      <c r="K3" s="63"/>
      <c r="L3" s="63"/>
      <c r="M3" s="63"/>
      <c r="N3" s="63"/>
      <c r="O3" s="63"/>
      <c r="P3" s="63"/>
      <c r="Q3" s="63"/>
      <c r="R3" s="63"/>
      <c r="S3" s="64"/>
    </row>
    <row r="4" spans="2:19" ht="26" x14ac:dyDescent="0.35">
      <c r="B4" s="66"/>
      <c r="C4" s="67"/>
      <c r="D4" s="67"/>
      <c r="E4" s="67"/>
      <c r="F4" s="67"/>
      <c r="G4" s="67"/>
      <c r="H4" s="63"/>
      <c r="I4" s="63"/>
      <c r="J4" s="63"/>
      <c r="K4" s="63"/>
      <c r="L4" s="63"/>
      <c r="M4" s="63"/>
      <c r="N4" s="63"/>
      <c r="O4" s="63"/>
      <c r="P4" s="63"/>
      <c r="Q4" s="63"/>
      <c r="R4" s="63"/>
      <c r="S4" s="64"/>
    </row>
    <row r="5" spans="2:19" ht="15" thickBot="1" x14ac:dyDescent="0.4">
      <c r="B5" s="62"/>
      <c r="C5" s="63"/>
      <c r="D5" s="63"/>
      <c r="E5" s="63"/>
      <c r="F5" s="63"/>
      <c r="G5" s="63"/>
      <c r="H5" s="63"/>
      <c r="I5" s="63"/>
      <c r="J5" s="63"/>
      <c r="K5" s="63"/>
      <c r="L5" s="63"/>
      <c r="M5" s="63"/>
      <c r="N5" s="63"/>
      <c r="O5" s="63"/>
      <c r="P5" s="63"/>
      <c r="Q5" s="63"/>
      <c r="R5" s="63"/>
      <c r="S5" s="64"/>
    </row>
    <row r="6" spans="2:19" ht="16.5" customHeight="1" thickBot="1" x14ac:dyDescent="0.4">
      <c r="B6" s="1381" t="s">
        <v>666</v>
      </c>
      <c r="C6" s="1382"/>
      <c r="D6" s="1382"/>
      <c r="E6" s="1382"/>
      <c r="F6" s="1382"/>
      <c r="G6" s="1382"/>
      <c r="H6" s="107"/>
      <c r="I6" s="107"/>
      <c r="J6" s="107"/>
      <c r="K6" s="107"/>
      <c r="L6" s="107"/>
      <c r="M6" s="107"/>
      <c r="N6" s="107"/>
      <c r="O6" s="107"/>
      <c r="P6" s="107"/>
      <c r="Q6" s="107"/>
      <c r="R6" s="107"/>
      <c r="S6" s="108"/>
    </row>
    <row r="7" spans="2:19" ht="15.75" customHeight="1" x14ac:dyDescent="0.35">
      <c r="B7" s="1381" t="s">
        <v>667</v>
      </c>
      <c r="C7" s="1383"/>
      <c r="D7" s="1383"/>
      <c r="E7" s="1383"/>
      <c r="F7" s="1383"/>
      <c r="G7" s="1383"/>
      <c r="H7" s="107"/>
      <c r="I7" s="107"/>
      <c r="J7" s="107"/>
      <c r="K7" s="107"/>
      <c r="L7" s="107"/>
      <c r="M7" s="107"/>
      <c r="N7" s="107"/>
      <c r="O7" s="107"/>
      <c r="P7" s="107"/>
      <c r="Q7" s="107"/>
      <c r="R7" s="107"/>
      <c r="S7" s="108"/>
    </row>
    <row r="8" spans="2:19" ht="15.75" customHeight="1" thickBot="1" x14ac:dyDescent="0.4">
      <c r="B8" s="1384" t="s">
        <v>668</v>
      </c>
      <c r="C8" s="1385"/>
      <c r="D8" s="1385"/>
      <c r="E8" s="1385"/>
      <c r="F8" s="1385"/>
      <c r="G8" s="1385"/>
      <c r="H8" s="109"/>
      <c r="I8" s="109"/>
      <c r="J8" s="109"/>
      <c r="K8" s="109"/>
      <c r="L8" s="109"/>
      <c r="M8" s="109"/>
      <c r="N8" s="109"/>
      <c r="O8" s="109"/>
      <c r="P8" s="109"/>
      <c r="Q8" s="109"/>
      <c r="R8" s="109"/>
      <c r="S8" s="110"/>
    </row>
    <row r="10" spans="2:19" ht="21" x14ac:dyDescent="0.5">
      <c r="B10" s="1397" t="s">
        <v>669</v>
      </c>
      <c r="C10" s="1397"/>
    </row>
    <row r="11" spans="2:19" ht="15" thickBot="1" x14ac:dyDescent="0.4"/>
    <row r="12" spans="2:19" ht="15" thickBot="1" x14ac:dyDescent="0.4">
      <c r="B12" s="111" t="s">
        <v>670</v>
      </c>
      <c r="C12" s="90"/>
    </row>
    <row r="13" spans="2:19" ht="15" thickBot="1" x14ac:dyDescent="0.4">
      <c r="B13" s="111" t="s">
        <v>93</v>
      </c>
      <c r="C13" s="90" t="s">
        <v>671</v>
      </c>
    </row>
    <row r="14" spans="2:19" ht="15" thickBot="1" x14ac:dyDescent="0.4">
      <c r="B14" s="111" t="s">
        <v>672</v>
      </c>
      <c r="C14" s="90" t="s">
        <v>673</v>
      </c>
    </row>
    <row r="15" spans="2:19" ht="15" thickBot="1" x14ac:dyDescent="0.4">
      <c r="B15" s="111" t="s">
        <v>674</v>
      </c>
      <c r="C15" s="90" t="s">
        <v>37</v>
      </c>
    </row>
    <row r="16" spans="2:19" ht="15" thickBot="1" x14ac:dyDescent="0.4">
      <c r="B16" s="111" t="s">
        <v>675</v>
      </c>
      <c r="C16" s="90" t="s">
        <v>676</v>
      </c>
    </row>
    <row r="17" spans="2:19" ht="15" thickBot="1" x14ac:dyDescent="0.4">
      <c r="B17" s="111" t="s">
        <v>677</v>
      </c>
      <c r="C17" s="90" t="s">
        <v>678</v>
      </c>
    </row>
    <row r="18" spans="2:19" ht="15" thickBot="1" x14ac:dyDescent="0.4"/>
    <row r="19" spans="2:19" ht="15" thickBot="1" x14ac:dyDescent="0.4">
      <c r="D19" s="1293" t="s">
        <v>679</v>
      </c>
      <c r="E19" s="1294"/>
      <c r="F19" s="1294"/>
      <c r="G19" s="1295"/>
      <c r="H19" s="1293" t="s">
        <v>680</v>
      </c>
      <c r="I19" s="1294"/>
      <c r="J19" s="1294"/>
      <c r="K19" s="1295"/>
      <c r="L19" s="1293" t="s">
        <v>681</v>
      </c>
      <c r="M19" s="1294"/>
      <c r="N19" s="1294"/>
      <c r="O19" s="1295"/>
      <c r="P19" s="1293" t="s">
        <v>682</v>
      </c>
      <c r="Q19" s="1294"/>
      <c r="R19" s="1294"/>
      <c r="S19" s="1295"/>
    </row>
    <row r="20" spans="2:19" ht="24.75" customHeight="1" thickBot="1" x14ac:dyDescent="0.4">
      <c r="B20" s="1296" t="s">
        <v>683</v>
      </c>
      <c r="C20" s="1398" t="s">
        <v>684</v>
      </c>
      <c r="D20" s="91"/>
      <c r="E20" s="220" t="s">
        <v>685</v>
      </c>
      <c r="F20" s="293" t="s">
        <v>686</v>
      </c>
      <c r="G20" s="92" t="s">
        <v>687</v>
      </c>
      <c r="H20" s="91"/>
      <c r="I20" s="220" t="s">
        <v>685</v>
      </c>
      <c r="J20" s="293" t="s">
        <v>686</v>
      </c>
      <c r="K20" s="92" t="s">
        <v>687</v>
      </c>
      <c r="L20" s="91"/>
      <c r="M20" s="220" t="s">
        <v>685</v>
      </c>
      <c r="N20" s="293" t="s">
        <v>686</v>
      </c>
      <c r="O20" s="92" t="s">
        <v>687</v>
      </c>
      <c r="P20" s="91"/>
      <c r="Q20" s="220" t="s">
        <v>685</v>
      </c>
      <c r="R20" s="293" t="s">
        <v>686</v>
      </c>
      <c r="S20" s="92" t="s">
        <v>687</v>
      </c>
    </row>
    <row r="21" spans="2:19" x14ac:dyDescent="0.35">
      <c r="B21" s="1347"/>
      <c r="C21" s="1399"/>
      <c r="D21" s="93" t="s">
        <v>282</v>
      </c>
      <c r="E21" s="294">
        <v>200000</v>
      </c>
      <c r="F21" s="294">
        <v>60000</v>
      </c>
      <c r="G21" s="295">
        <v>140000</v>
      </c>
      <c r="H21" s="94" t="s">
        <v>282</v>
      </c>
      <c r="I21" s="294">
        <v>200000</v>
      </c>
      <c r="J21" s="294">
        <v>60000</v>
      </c>
      <c r="K21" s="295">
        <v>140000</v>
      </c>
      <c r="L21" s="93" t="s">
        <v>282</v>
      </c>
      <c r="M21" s="296">
        <f>+N21+O21</f>
        <v>28116</v>
      </c>
      <c r="N21" s="296">
        <v>8516</v>
      </c>
      <c r="O21" s="296">
        <v>19600</v>
      </c>
      <c r="P21" s="93" t="s">
        <v>282</v>
      </c>
      <c r="Q21" s="297">
        <f>+R21+S21</f>
        <v>155772</v>
      </c>
      <c r="R21" s="297">
        <f>12693*4</f>
        <v>50772</v>
      </c>
      <c r="S21" s="296">
        <v>105000</v>
      </c>
    </row>
    <row r="22" spans="2:19" x14ac:dyDescent="0.35">
      <c r="B22" s="1347"/>
      <c r="C22" s="1399"/>
      <c r="D22" s="298" t="s">
        <v>688</v>
      </c>
      <c r="E22" s="299">
        <v>0.5</v>
      </c>
      <c r="F22" s="299">
        <v>0.5</v>
      </c>
      <c r="G22" s="300">
        <v>0.5</v>
      </c>
      <c r="H22" s="221" t="s">
        <v>688</v>
      </c>
      <c r="I22" s="299">
        <v>0.5</v>
      </c>
      <c r="J22" s="299">
        <v>0.5</v>
      </c>
      <c r="K22" s="300">
        <v>0.5</v>
      </c>
      <c r="L22" s="298" t="s">
        <v>688</v>
      </c>
      <c r="M22" s="299">
        <v>0.5</v>
      </c>
      <c r="N22" s="300">
        <v>0.53</v>
      </c>
      <c r="O22" s="300">
        <v>0.5</v>
      </c>
      <c r="P22" s="298" t="s">
        <v>688</v>
      </c>
      <c r="Q22" s="301">
        <v>0.52</v>
      </c>
      <c r="R22" s="301">
        <v>0.53</v>
      </c>
      <c r="S22" s="302">
        <v>0.5</v>
      </c>
    </row>
    <row r="23" spans="2:19" x14ac:dyDescent="0.35">
      <c r="B23" s="1297"/>
      <c r="C23" s="1400"/>
      <c r="D23" s="298" t="s">
        <v>689</v>
      </c>
      <c r="E23" s="299">
        <v>0.3</v>
      </c>
      <c r="F23" s="299">
        <v>0.3</v>
      </c>
      <c r="G23" s="300">
        <v>0.3</v>
      </c>
      <c r="H23" s="221" t="s">
        <v>689</v>
      </c>
      <c r="I23" s="299">
        <v>0.3</v>
      </c>
      <c r="J23" s="299">
        <v>0.3</v>
      </c>
      <c r="K23" s="300">
        <v>0.3</v>
      </c>
      <c r="L23" s="298" t="s">
        <v>689</v>
      </c>
      <c r="M23" s="299"/>
      <c r="N23" s="299"/>
      <c r="O23" s="300"/>
      <c r="P23" s="298" t="s">
        <v>689</v>
      </c>
      <c r="Q23" s="301"/>
      <c r="R23" s="301"/>
      <c r="S23" s="302"/>
    </row>
    <row r="24" spans="2:19" ht="15" thickBot="1" x14ac:dyDescent="0.4">
      <c r="B24" s="95"/>
      <c r="C24" s="95"/>
      <c r="Q24" s="96"/>
      <c r="R24" s="96"/>
      <c r="S24" s="96"/>
    </row>
    <row r="25" spans="2:19" ht="15" thickBot="1" x14ac:dyDescent="0.4">
      <c r="B25" s="95"/>
      <c r="C25" s="95"/>
      <c r="D25" s="1293" t="s">
        <v>679</v>
      </c>
      <c r="E25" s="1294"/>
      <c r="F25" s="1294"/>
      <c r="G25" s="1295"/>
      <c r="H25" s="1293" t="s">
        <v>680</v>
      </c>
      <c r="I25" s="1294"/>
      <c r="J25" s="1294"/>
      <c r="K25" s="1295"/>
      <c r="L25" s="1293" t="s">
        <v>681</v>
      </c>
      <c r="M25" s="1294"/>
      <c r="N25" s="1294"/>
      <c r="O25" s="1295"/>
      <c r="P25" s="1293" t="s">
        <v>682</v>
      </c>
      <c r="Q25" s="1294"/>
      <c r="R25" s="1294"/>
      <c r="S25" s="1295"/>
    </row>
    <row r="26" spans="2:19" ht="24" customHeight="1" x14ac:dyDescent="0.35">
      <c r="B26" s="1296" t="s">
        <v>690</v>
      </c>
      <c r="C26" s="1296" t="s">
        <v>691</v>
      </c>
      <c r="D26" s="1359" t="s">
        <v>692</v>
      </c>
      <c r="E26" s="1360"/>
      <c r="F26" s="303" t="s">
        <v>693</v>
      </c>
      <c r="G26" s="304" t="s">
        <v>694</v>
      </c>
      <c r="H26" s="1359" t="s">
        <v>692</v>
      </c>
      <c r="I26" s="1360"/>
      <c r="J26" s="303" t="s">
        <v>693</v>
      </c>
      <c r="K26" s="304" t="s">
        <v>694</v>
      </c>
      <c r="L26" s="1359" t="s">
        <v>692</v>
      </c>
      <c r="M26" s="1360"/>
      <c r="N26" s="303" t="s">
        <v>693</v>
      </c>
      <c r="O26" s="304" t="s">
        <v>694</v>
      </c>
      <c r="P26" s="1359" t="s">
        <v>692</v>
      </c>
      <c r="Q26" s="1360"/>
      <c r="R26" s="303" t="s">
        <v>693</v>
      </c>
      <c r="S26" s="304" t="s">
        <v>694</v>
      </c>
    </row>
    <row r="27" spans="2:19" x14ac:dyDescent="0.35">
      <c r="B27" s="1347"/>
      <c r="C27" s="1347"/>
      <c r="D27" s="305" t="s">
        <v>282</v>
      </c>
      <c r="E27" s="294">
        <v>15000</v>
      </c>
      <c r="F27" s="1372" t="s">
        <v>695</v>
      </c>
      <c r="G27" s="1374" t="s">
        <v>696</v>
      </c>
      <c r="H27" s="305" t="s">
        <v>282</v>
      </c>
      <c r="I27" s="294">
        <v>15000</v>
      </c>
      <c r="J27" s="1376" t="s">
        <v>695</v>
      </c>
      <c r="K27" s="1378" t="s">
        <v>697</v>
      </c>
      <c r="L27" s="305" t="s">
        <v>282</v>
      </c>
      <c r="M27" s="296">
        <v>15000</v>
      </c>
      <c r="N27" s="1376" t="s">
        <v>695</v>
      </c>
      <c r="O27" s="1378" t="s">
        <v>697</v>
      </c>
      <c r="P27" s="305" t="s">
        <v>282</v>
      </c>
      <c r="Q27" s="297">
        <v>12693</v>
      </c>
      <c r="R27" s="1376" t="s">
        <v>695</v>
      </c>
      <c r="S27" s="1378" t="s">
        <v>697</v>
      </c>
    </row>
    <row r="28" spans="2:19" x14ac:dyDescent="0.35">
      <c r="B28" s="1297"/>
      <c r="C28" s="1297"/>
      <c r="D28" s="306" t="s">
        <v>698</v>
      </c>
      <c r="E28" s="299">
        <v>0.5</v>
      </c>
      <c r="F28" s="1373"/>
      <c r="G28" s="1375"/>
      <c r="H28" s="306" t="s">
        <v>698</v>
      </c>
      <c r="I28" s="299">
        <v>0.5</v>
      </c>
      <c r="J28" s="1377"/>
      <c r="K28" s="1379"/>
      <c r="L28" s="306" t="s">
        <v>698</v>
      </c>
      <c r="M28" s="299">
        <v>0.5</v>
      </c>
      <c r="N28" s="1377"/>
      <c r="O28" s="1379"/>
      <c r="P28" s="306" t="s">
        <v>698</v>
      </c>
      <c r="Q28" s="301">
        <v>0.53</v>
      </c>
      <c r="R28" s="1377"/>
      <c r="S28" s="1379"/>
    </row>
    <row r="29" spans="2:19" ht="36" customHeight="1" x14ac:dyDescent="0.35">
      <c r="B29" s="1284" t="s">
        <v>699</v>
      </c>
      <c r="C29" s="1307" t="s">
        <v>700</v>
      </c>
      <c r="D29" s="287" t="s">
        <v>701</v>
      </c>
      <c r="E29" s="307" t="s">
        <v>677</v>
      </c>
      <c r="F29" s="307" t="s">
        <v>702</v>
      </c>
      <c r="G29" s="308" t="s">
        <v>703</v>
      </c>
      <c r="H29" s="287" t="s">
        <v>701</v>
      </c>
      <c r="I29" s="307" t="s">
        <v>677</v>
      </c>
      <c r="J29" s="307" t="s">
        <v>702</v>
      </c>
      <c r="K29" s="308" t="s">
        <v>703</v>
      </c>
      <c r="L29" s="287" t="s">
        <v>701</v>
      </c>
      <c r="M29" s="307" t="s">
        <v>677</v>
      </c>
      <c r="N29" s="307" t="s">
        <v>702</v>
      </c>
      <c r="O29" s="308" t="s">
        <v>703</v>
      </c>
      <c r="P29" s="287" t="s">
        <v>701</v>
      </c>
      <c r="Q29" s="307" t="s">
        <v>677</v>
      </c>
      <c r="R29" s="307" t="s">
        <v>702</v>
      </c>
      <c r="S29" s="308" t="s">
        <v>703</v>
      </c>
    </row>
    <row r="30" spans="2:19" ht="36" customHeight="1" x14ac:dyDescent="0.35">
      <c r="B30" s="1285"/>
      <c r="C30" s="1308"/>
      <c r="D30" s="224">
        <v>50</v>
      </c>
      <c r="E30" s="309" t="s">
        <v>678</v>
      </c>
      <c r="F30" s="309" t="s">
        <v>704</v>
      </c>
      <c r="G30" s="310" t="s">
        <v>705</v>
      </c>
      <c r="H30" s="311">
        <v>45</v>
      </c>
      <c r="I30" s="225" t="s">
        <v>678</v>
      </c>
      <c r="J30" s="311" t="s">
        <v>704</v>
      </c>
      <c r="K30" s="312" t="s">
        <v>705</v>
      </c>
      <c r="L30" s="311">
        <v>45</v>
      </c>
      <c r="M30" s="225" t="s">
        <v>678</v>
      </c>
      <c r="N30" s="311" t="s">
        <v>704</v>
      </c>
      <c r="O30" s="312" t="s">
        <v>705</v>
      </c>
      <c r="P30" s="311">
        <v>45</v>
      </c>
      <c r="Q30" s="225" t="s">
        <v>678</v>
      </c>
      <c r="R30" s="311" t="s">
        <v>704</v>
      </c>
      <c r="S30" s="312" t="s">
        <v>705</v>
      </c>
    </row>
    <row r="31" spans="2:19" x14ac:dyDescent="0.35">
      <c r="B31" s="1284" t="s">
        <v>706</v>
      </c>
      <c r="C31" s="1284" t="s">
        <v>707</v>
      </c>
      <c r="D31" s="307" t="s">
        <v>708</v>
      </c>
      <c r="E31" s="307" t="s">
        <v>709</v>
      </c>
      <c r="F31" s="293" t="s">
        <v>710</v>
      </c>
      <c r="G31" s="313" t="s">
        <v>695</v>
      </c>
      <c r="H31" s="307" t="s">
        <v>708</v>
      </c>
      <c r="I31" s="307" t="s">
        <v>709</v>
      </c>
      <c r="J31" s="293" t="s">
        <v>710</v>
      </c>
      <c r="K31" s="314" t="s">
        <v>695</v>
      </c>
      <c r="L31" s="307" t="s">
        <v>708</v>
      </c>
      <c r="M31" s="307" t="s">
        <v>709</v>
      </c>
      <c r="N31" s="293" t="s">
        <v>710</v>
      </c>
      <c r="O31" s="314" t="s">
        <v>695</v>
      </c>
      <c r="P31" s="307" t="s">
        <v>708</v>
      </c>
      <c r="Q31" s="307" t="s">
        <v>709</v>
      </c>
      <c r="R31" s="293" t="s">
        <v>710</v>
      </c>
      <c r="S31" s="314" t="s">
        <v>695</v>
      </c>
    </row>
    <row r="32" spans="2:19" x14ac:dyDescent="0.35">
      <c r="B32" s="1285"/>
      <c r="C32" s="1285"/>
      <c r="D32" s="1395">
        <v>0</v>
      </c>
      <c r="E32" s="1395" t="s">
        <v>711</v>
      </c>
      <c r="F32" s="293" t="s">
        <v>712</v>
      </c>
      <c r="G32" s="226" t="s">
        <v>704</v>
      </c>
      <c r="H32" s="1393">
        <v>0</v>
      </c>
      <c r="I32" s="1391" t="s">
        <v>711</v>
      </c>
      <c r="J32" s="293" t="s">
        <v>712</v>
      </c>
      <c r="K32" s="227" t="s">
        <v>704</v>
      </c>
      <c r="L32" s="1393">
        <v>1</v>
      </c>
      <c r="M32" s="1391" t="s">
        <v>711</v>
      </c>
      <c r="N32" s="293" t="s">
        <v>712</v>
      </c>
      <c r="O32" s="227" t="s">
        <v>704</v>
      </c>
      <c r="P32" s="1393">
        <v>1</v>
      </c>
      <c r="Q32" s="1391" t="s">
        <v>711</v>
      </c>
      <c r="R32" s="293" t="s">
        <v>712</v>
      </c>
      <c r="S32" s="227" t="s">
        <v>704</v>
      </c>
    </row>
    <row r="33" spans="2:19" x14ac:dyDescent="0.35">
      <c r="B33" s="1285"/>
      <c r="C33" s="1285"/>
      <c r="D33" s="1396"/>
      <c r="E33" s="1396"/>
      <c r="F33" s="293" t="s">
        <v>713</v>
      </c>
      <c r="G33" s="315">
        <v>39</v>
      </c>
      <c r="H33" s="1394"/>
      <c r="I33" s="1392"/>
      <c r="J33" s="293" t="s">
        <v>713</v>
      </c>
      <c r="K33" s="316">
        <v>39</v>
      </c>
      <c r="L33" s="1394"/>
      <c r="M33" s="1392"/>
      <c r="N33" s="293" t="s">
        <v>713</v>
      </c>
      <c r="O33" s="316">
        <v>39</v>
      </c>
      <c r="P33" s="1394"/>
      <c r="Q33" s="1392"/>
      <c r="R33" s="293" t="s">
        <v>713</v>
      </c>
      <c r="S33" s="316">
        <v>39</v>
      </c>
    </row>
    <row r="34" spans="2:19" x14ac:dyDescent="0.35">
      <c r="B34" s="1285"/>
      <c r="C34" s="1285"/>
      <c r="D34" s="307" t="s">
        <v>708</v>
      </c>
      <c r="E34" s="307" t="s">
        <v>709</v>
      </c>
      <c r="F34" s="293" t="s">
        <v>710</v>
      </c>
      <c r="G34" s="313"/>
      <c r="H34" s="307" t="s">
        <v>708</v>
      </c>
      <c r="I34" s="307" t="s">
        <v>709</v>
      </c>
      <c r="J34" s="293" t="s">
        <v>710</v>
      </c>
      <c r="K34" s="314" t="s">
        <v>695</v>
      </c>
      <c r="L34" s="307" t="s">
        <v>708</v>
      </c>
      <c r="M34" s="307" t="s">
        <v>709</v>
      </c>
      <c r="N34" s="293" t="s">
        <v>710</v>
      </c>
      <c r="O34" s="314" t="s">
        <v>695</v>
      </c>
      <c r="P34" s="307" t="s">
        <v>708</v>
      </c>
      <c r="Q34" s="307" t="s">
        <v>709</v>
      </c>
      <c r="R34" s="293" t="s">
        <v>710</v>
      </c>
      <c r="S34" s="314" t="s">
        <v>695</v>
      </c>
    </row>
    <row r="35" spans="2:19" x14ac:dyDescent="0.35">
      <c r="B35" s="1285"/>
      <c r="C35" s="1285"/>
      <c r="D35" s="1395">
        <v>0</v>
      </c>
      <c r="E35" s="1395" t="s">
        <v>714</v>
      </c>
      <c r="F35" s="293" t="s">
        <v>712</v>
      </c>
      <c r="G35" s="226" t="s">
        <v>704</v>
      </c>
      <c r="H35" s="1393">
        <v>0</v>
      </c>
      <c r="I35" s="1393" t="s">
        <v>714</v>
      </c>
      <c r="J35" s="293" t="s">
        <v>712</v>
      </c>
      <c r="K35" s="227" t="s">
        <v>704</v>
      </c>
      <c r="L35" s="1393">
        <v>1</v>
      </c>
      <c r="M35" s="1393" t="s">
        <v>714</v>
      </c>
      <c r="N35" s="293" t="s">
        <v>712</v>
      </c>
      <c r="O35" s="227" t="s">
        <v>704</v>
      </c>
      <c r="P35" s="1393">
        <v>1</v>
      </c>
      <c r="Q35" s="1393" t="s">
        <v>714</v>
      </c>
      <c r="R35" s="293" t="s">
        <v>712</v>
      </c>
      <c r="S35" s="227" t="s">
        <v>704</v>
      </c>
    </row>
    <row r="36" spans="2:19" x14ac:dyDescent="0.35">
      <c r="B36" s="1286"/>
      <c r="C36" s="1286"/>
      <c r="D36" s="1396"/>
      <c r="E36" s="1396"/>
      <c r="F36" s="293" t="s">
        <v>713</v>
      </c>
      <c r="G36" s="315">
        <v>13</v>
      </c>
      <c r="H36" s="1394"/>
      <c r="I36" s="1394"/>
      <c r="J36" s="293" t="s">
        <v>713</v>
      </c>
      <c r="K36" s="316">
        <v>13</v>
      </c>
      <c r="L36" s="1394"/>
      <c r="M36" s="1394"/>
      <c r="N36" s="293" t="s">
        <v>713</v>
      </c>
      <c r="O36" s="316">
        <v>13</v>
      </c>
      <c r="P36" s="1394"/>
      <c r="Q36" s="1394"/>
      <c r="R36" s="293" t="s">
        <v>713</v>
      </c>
      <c r="S36" s="316">
        <v>13</v>
      </c>
    </row>
    <row r="37" spans="2:19" ht="15" thickBot="1" x14ac:dyDescent="0.4">
      <c r="C37" s="97"/>
      <c r="D37" s="98"/>
    </row>
    <row r="38" spans="2:19" ht="15" thickBot="1" x14ac:dyDescent="0.4">
      <c r="D38" s="1293" t="s">
        <v>679</v>
      </c>
      <c r="E38" s="1294"/>
      <c r="F38" s="1294"/>
      <c r="G38" s="1295"/>
      <c r="H38" s="1293" t="s">
        <v>680</v>
      </c>
      <c r="I38" s="1294"/>
      <c r="J38" s="1294"/>
      <c r="K38" s="1295"/>
      <c r="L38" s="1293" t="s">
        <v>681</v>
      </c>
      <c r="M38" s="1294"/>
      <c r="N38" s="1294"/>
      <c r="O38" s="1295"/>
      <c r="P38" s="1293" t="s">
        <v>682</v>
      </c>
      <c r="Q38" s="1294"/>
      <c r="R38" s="1294"/>
      <c r="S38" s="1295"/>
    </row>
    <row r="39" spans="2:19" x14ac:dyDescent="0.35">
      <c r="B39" s="1296" t="s">
        <v>715</v>
      </c>
      <c r="C39" s="1296" t="s">
        <v>716</v>
      </c>
      <c r="D39" s="1298" t="s">
        <v>717</v>
      </c>
      <c r="E39" s="1336"/>
      <c r="F39" s="317" t="s">
        <v>677</v>
      </c>
      <c r="G39" s="99" t="s">
        <v>718</v>
      </c>
      <c r="H39" s="1298" t="s">
        <v>717</v>
      </c>
      <c r="I39" s="1336"/>
      <c r="J39" s="317" t="s">
        <v>677</v>
      </c>
      <c r="K39" s="99" t="s">
        <v>718</v>
      </c>
      <c r="L39" s="1298" t="s">
        <v>717</v>
      </c>
      <c r="M39" s="1336"/>
      <c r="N39" s="317" t="s">
        <v>677</v>
      </c>
      <c r="O39" s="99" t="s">
        <v>718</v>
      </c>
      <c r="P39" s="1298" t="s">
        <v>717</v>
      </c>
      <c r="Q39" s="1336"/>
      <c r="R39" s="317" t="s">
        <v>677</v>
      </c>
      <c r="S39" s="99" t="s">
        <v>718</v>
      </c>
    </row>
    <row r="40" spans="2:19" x14ac:dyDescent="0.35">
      <c r="B40" s="1347"/>
      <c r="C40" s="1347"/>
      <c r="D40" s="305" t="s">
        <v>282</v>
      </c>
      <c r="E40" s="294">
        <v>100</v>
      </c>
      <c r="F40" s="1372" t="s">
        <v>678</v>
      </c>
      <c r="G40" s="1374" t="s">
        <v>719</v>
      </c>
      <c r="H40" s="305" t="s">
        <v>282</v>
      </c>
      <c r="I40" s="294">
        <v>100</v>
      </c>
      <c r="J40" s="1376" t="s">
        <v>678</v>
      </c>
      <c r="K40" s="1378" t="s">
        <v>720</v>
      </c>
      <c r="L40" s="305" t="s">
        <v>282</v>
      </c>
      <c r="M40" s="294">
        <v>100</v>
      </c>
      <c r="N40" s="1376" t="s">
        <v>678</v>
      </c>
      <c r="O40" s="1378" t="s">
        <v>721</v>
      </c>
      <c r="P40" s="305" t="s">
        <v>282</v>
      </c>
      <c r="Q40" s="294">
        <v>100</v>
      </c>
      <c r="R40" s="1376" t="s">
        <v>678</v>
      </c>
      <c r="S40" s="1378" t="s">
        <v>722</v>
      </c>
    </row>
    <row r="41" spans="2:19" x14ac:dyDescent="0.35">
      <c r="B41" s="1297"/>
      <c r="C41" s="1297"/>
      <c r="D41" s="306" t="s">
        <v>698</v>
      </c>
      <c r="E41" s="299">
        <v>0.3</v>
      </c>
      <c r="F41" s="1373"/>
      <c r="G41" s="1375"/>
      <c r="H41" s="306" t="s">
        <v>698</v>
      </c>
      <c r="I41" s="299">
        <v>0.3</v>
      </c>
      <c r="J41" s="1377"/>
      <c r="K41" s="1379"/>
      <c r="L41" s="306" t="s">
        <v>698</v>
      </c>
      <c r="M41" s="299">
        <v>0.3</v>
      </c>
      <c r="N41" s="1377"/>
      <c r="O41" s="1379"/>
      <c r="P41" s="306" t="s">
        <v>698</v>
      </c>
      <c r="Q41" s="299">
        <v>0.3</v>
      </c>
      <c r="R41" s="1377"/>
      <c r="S41" s="1379"/>
    </row>
    <row r="42" spans="2:19" x14ac:dyDescent="0.35">
      <c r="B42" s="1284" t="s">
        <v>723</v>
      </c>
      <c r="C42" s="1284" t="s">
        <v>724</v>
      </c>
      <c r="D42" s="307" t="s">
        <v>725</v>
      </c>
      <c r="E42" s="289" t="s">
        <v>726</v>
      </c>
      <c r="F42" s="1287" t="s">
        <v>727</v>
      </c>
      <c r="G42" s="1353"/>
      <c r="H42" s="307" t="s">
        <v>725</v>
      </c>
      <c r="I42" s="289" t="s">
        <v>726</v>
      </c>
      <c r="J42" s="1287" t="s">
        <v>727</v>
      </c>
      <c r="K42" s="1353"/>
      <c r="L42" s="307" t="s">
        <v>725</v>
      </c>
      <c r="M42" s="289" t="s">
        <v>726</v>
      </c>
      <c r="N42" s="1287" t="s">
        <v>727</v>
      </c>
      <c r="O42" s="1353"/>
      <c r="P42" s="307" t="s">
        <v>725</v>
      </c>
      <c r="Q42" s="289" t="s">
        <v>726</v>
      </c>
      <c r="R42" s="1287" t="s">
        <v>727</v>
      </c>
      <c r="S42" s="1353"/>
    </row>
    <row r="43" spans="2:19" x14ac:dyDescent="0.35">
      <c r="B43" s="1285"/>
      <c r="C43" s="1286"/>
      <c r="D43" s="294">
        <v>50</v>
      </c>
      <c r="E43" s="299">
        <v>0.3</v>
      </c>
      <c r="F43" s="1367" t="s">
        <v>728</v>
      </c>
      <c r="G43" s="1368"/>
      <c r="H43" s="294">
        <v>50</v>
      </c>
      <c r="I43" s="299">
        <v>0.3</v>
      </c>
      <c r="J43" s="1369" t="s">
        <v>728</v>
      </c>
      <c r="K43" s="1370"/>
      <c r="L43" s="294">
        <v>50</v>
      </c>
      <c r="M43" s="299">
        <v>0.3</v>
      </c>
      <c r="N43" s="1369" t="s">
        <v>728</v>
      </c>
      <c r="O43" s="1370"/>
      <c r="P43" s="294">
        <v>50</v>
      </c>
      <c r="Q43" s="299">
        <v>0.3</v>
      </c>
      <c r="R43" s="1369" t="s">
        <v>728</v>
      </c>
      <c r="S43" s="1370"/>
    </row>
    <row r="44" spans="2:19" x14ac:dyDescent="0.35">
      <c r="B44" s="1285"/>
      <c r="C44" s="1284" t="s">
        <v>729</v>
      </c>
      <c r="D44" s="228" t="s">
        <v>727</v>
      </c>
      <c r="E44" s="318" t="s">
        <v>702</v>
      </c>
      <c r="F44" s="307" t="s">
        <v>677</v>
      </c>
      <c r="G44" s="286" t="s">
        <v>718</v>
      </c>
      <c r="H44" s="228" t="s">
        <v>727</v>
      </c>
      <c r="I44" s="318" t="s">
        <v>702</v>
      </c>
      <c r="J44" s="307" t="s">
        <v>677</v>
      </c>
      <c r="K44" s="286" t="s">
        <v>718</v>
      </c>
      <c r="L44" s="228" t="s">
        <v>727</v>
      </c>
      <c r="M44" s="318" t="s">
        <v>702</v>
      </c>
      <c r="N44" s="307" t="s">
        <v>677</v>
      </c>
      <c r="O44" s="286" t="s">
        <v>718</v>
      </c>
      <c r="P44" s="228" t="s">
        <v>727</v>
      </c>
      <c r="Q44" s="318" t="s">
        <v>702</v>
      </c>
      <c r="R44" s="307" t="s">
        <v>677</v>
      </c>
      <c r="S44" s="286" t="s">
        <v>718</v>
      </c>
    </row>
    <row r="45" spans="2:19" x14ac:dyDescent="0.35">
      <c r="B45" s="1286"/>
      <c r="C45" s="1371"/>
      <c r="D45" s="319" t="s">
        <v>728</v>
      </c>
      <c r="E45" s="320" t="s">
        <v>704</v>
      </c>
      <c r="F45" s="309" t="s">
        <v>678</v>
      </c>
      <c r="G45" s="229" t="s">
        <v>719</v>
      </c>
      <c r="H45" s="321" t="s">
        <v>728</v>
      </c>
      <c r="I45" s="322" t="s">
        <v>704</v>
      </c>
      <c r="J45" s="311" t="s">
        <v>678</v>
      </c>
      <c r="K45" s="230" t="s">
        <v>720</v>
      </c>
      <c r="L45" s="321" t="s">
        <v>728</v>
      </c>
      <c r="M45" s="322" t="s">
        <v>704</v>
      </c>
      <c r="N45" s="311" t="s">
        <v>678</v>
      </c>
      <c r="O45" s="230" t="s">
        <v>720</v>
      </c>
      <c r="P45" s="321" t="s">
        <v>728</v>
      </c>
      <c r="Q45" s="322" t="s">
        <v>704</v>
      </c>
      <c r="R45" s="311" t="s">
        <v>678</v>
      </c>
      <c r="S45" s="230" t="s">
        <v>720</v>
      </c>
    </row>
    <row r="46" spans="2:19" ht="15" thickBot="1" x14ac:dyDescent="0.4">
      <c r="B46" s="95"/>
      <c r="C46" s="100"/>
      <c r="D46" s="98"/>
    </row>
    <row r="47" spans="2:19" ht="15" thickBot="1" x14ac:dyDescent="0.4">
      <c r="B47" s="95"/>
      <c r="C47" s="95"/>
      <c r="D47" s="1293" t="s">
        <v>679</v>
      </c>
      <c r="E47" s="1294"/>
      <c r="F47" s="1294"/>
      <c r="G47" s="1294"/>
      <c r="H47" s="1293" t="s">
        <v>680</v>
      </c>
      <c r="I47" s="1294"/>
      <c r="J47" s="1294"/>
      <c r="K47" s="1295"/>
      <c r="L47" s="1294" t="s">
        <v>681</v>
      </c>
      <c r="M47" s="1294"/>
      <c r="N47" s="1294"/>
      <c r="O47" s="1294"/>
      <c r="P47" s="1293" t="s">
        <v>682</v>
      </c>
      <c r="Q47" s="1294"/>
      <c r="R47" s="1294"/>
      <c r="S47" s="1295"/>
    </row>
    <row r="48" spans="2:19" x14ac:dyDescent="0.35">
      <c r="B48" s="1296" t="s">
        <v>730</v>
      </c>
      <c r="C48" s="1296" t="s">
        <v>731</v>
      </c>
      <c r="D48" s="1359" t="s">
        <v>732</v>
      </c>
      <c r="E48" s="1360"/>
      <c r="F48" s="1298" t="s">
        <v>677</v>
      </c>
      <c r="G48" s="1299"/>
      <c r="H48" s="1361" t="s">
        <v>732</v>
      </c>
      <c r="I48" s="1360"/>
      <c r="J48" s="1298" t="s">
        <v>677</v>
      </c>
      <c r="K48" s="1300"/>
      <c r="L48" s="1361" t="s">
        <v>732</v>
      </c>
      <c r="M48" s="1360"/>
      <c r="N48" s="1298" t="s">
        <v>677</v>
      </c>
      <c r="O48" s="1300"/>
      <c r="P48" s="1361" t="s">
        <v>732</v>
      </c>
      <c r="Q48" s="1360"/>
      <c r="R48" s="1298" t="s">
        <v>677</v>
      </c>
      <c r="S48" s="1300"/>
    </row>
    <row r="49" spans="2:19" x14ac:dyDescent="0.35">
      <c r="B49" s="1297"/>
      <c r="C49" s="1297"/>
      <c r="D49" s="1362">
        <v>0</v>
      </c>
      <c r="E49" s="1363"/>
      <c r="F49" s="1314" t="s">
        <v>678</v>
      </c>
      <c r="G49" s="1364"/>
      <c r="H49" s="1365">
        <v>1</v>
      </c>
      <c r="I49" s="1366"/>
      <c r="J49" s="1345" t="s">
        <v>678</v>
      </c>
      <c r="K49" s="1352"/>
      <c r="L49" s="1365">
        <v>0.15</v>
      </c>
      <c r="M49" s="1366"/>
      <c r="N49" s="1345" t="s">
        <v>678</v>
      </c>
      <c r="O49" s="1352"/>
      <c r="P49" s="1365">
        <v>0.85</v>
      </c>
      <c r="Q49" s="1366"/>
      <c r="R49" s="1345" t="s">
        <v>678</v>
      </c>
      <c r="S49" s="1352"/>
    </row>
    <row r="50" spans="2:19" x14ac:dyDescent="0.35">
      <c r="B50" s="1284" t="s">
        <v>733</v>
      </c>
      <c r="C50" s="1284" t="s">
        <v>734</v>
      </c>
      <c r="D50" s="307" t="s">
        <v>735</v>
      </c>
      <c r="E50" s="307" t="s">
        <v>736</v>
      </c>
      <c r="F50" s="1287" t="s">
        <v>737</v>
      </c>
      <c r="G50" s="1353"/>
      <c r="H50" s="323" t="s">
        <v>735</v>
      </c>
      <c r="I50" s="307" t="s">
        <v>736</v>
      </c>
      <c r="J50" s="1355" t="s">
        <v>737</v>
      </c>
      <c r="K50" s="1353"/>
      <c r="L50" s="323" t="s">
        <v>735</v>
      </c>
      <c r="M50" s="307" t="s">
        <v>736</v>
      </c>
      <c r="N50" s="1355" t="s">
        <v>737</v>
      </c>
      <c r="O50" s="1353"/>
      <c r="P50" s="323" t="s">
        <v>735</v>
      </c>
      <c r="Q50" s="307" t="s">
        <v>736</v>
      </c>
      <c r="R50" s="1355" t="s">
        <v>737</v>
      </c>
      <c r="S50" s="1353"/>
    </row>
    <row r="51" spans="2:19" x14ac:dyDescent="0.35">
      <c r="B51" s="1286"/>
      <c r="C51" s="1286"/>
      <c r="D51" s="294">
        <v>60000</v>
      </c>
      <c r="E51" s="299">
        <v>0.5</v>
      </c>
      <c r="F51" s="1356" t="s">
        <v>738</v>
      </c>
      <c r="G51" s="1356"/>
      <c r="H51" s="297">
        <v>60000</v>
      </c>
      <c r="I51" s="301">
        <v>0.5</v>
      </c>
      <c r="J51" s="1357" t="s">
        <v>739</v>
      </c>
      <c r="K51" s="1358"/>
      <c r="L51" s="297">
        <v>8516</v>
      </c>
      <c r="M51" s="301">
        <v>0.53</v>
      </c>
      <c r="N51" s="1357" t="s">
        <v>739</v>
      </c>
      <c r="O51" s="1358"/>
      <c r="P51" s="297">
        <f>12693*4</f>
        <v>50772</v>
      </c>
      <c r="Q51" s="301">
        <v>0.53</v>
      </c>
      <c r="R51" s="1357" t="s">
        <v>739</v>
      </c>
      <c r="S51" s="1358"/>
    </row>
    <row r="52" spans="2:19" ht="15" thickBot="1" x14ac:dyDescent="0.4">
      <c r="B52" s="95"/>
      <c r="C52" s="95"/>
    </row>
    <row r="53" spans="2:19" ht="15" thickBot="1" x14ac:dyDescent="0.4">
      <c r="B53" s="95"/>
      <c r="C53" s="95"/>
      <c r="D53" s="1293" t="s">
        <v>679</v>
      </c>
      <c r="E53" s="1294"/>
      <c r="F53" s="1294"/>
      <c r="G53" s="1295"/>
      <c r="H53" s="1294" t="s">
        <v>680</v>
      </c>
      <c r="I53" s="1294"/>
      <c r="J53" s="1294"/>
      <c r="K53" s="1295"/>
      <c r="L53" s="1333" t="s">
        <v>681</v>
      </c>
      <c r="M53" s="1334"/>
      <c r="N53" s="1334"/>
      <c r="O53" s="1335"/>
      <c r="P53" s="1293" t="s">
        <v>682</v>
      </c>
      <c r="Q53" s="1294"/>
      <c r="R53" s="1294"/>
      <c r="S53" s="1295"/>
    </row>
    <row r="54" spans="2:19" x14ac:dyDescent="0.35">
      <c r="B54" s="1296" t="s">
        <v>740</v>
      </c>
      <c r="C54" s="1296" t="s">
        <v>741</v>
      </c>
      <c r="D54" s="324" t="s">
        <v>742</v>
      </c>
      <c r="E54" s="317" t="s">
        <v>743</v>
      </c>
      <c r="F54" s="1298" t="s">
        <v>744</v>
      </c>
      <c r="G54" s="1300"/>
      <c r="H54" s="324" t="s">
        <v>742</v>
      </c>
      <c r="I54" s="317" t="s">
        <v>743</v>
      </c>
      <c r="J54" s="1298" t="s">
        <v>744</v>
      </c>
      <c r="K54" s="1300"/>
      <c r="L54" s="324" t="s">
        <v>742</v>
      </c>
      <c r="M54" s="317" t="s">
        <v>743</v>
      </c>
      <c r="N54" s="1298" t="s">
        <v>744</v>
      </c>
      <c r="O54" s="1300"/>
      <c r="P54" s="324" t="s">
        <v>742</v>
      </c>
      <c r="Q54" s="317" t="s">
        <v>743</v>
      </c>
      <c r="R54" s="1298" t="s">
        <v>744</v>
      </c>
      <c r="S54" s="1300"/>
    </row>
    <row r="55" spans="2:19" x14ac:dyDescent="0.35">
      <c r="B55" s="1347"/>
      <c r="C55" s="1297"/>
      <c r="D55" s="325" t="s">
        <v>678</v>
      </c>
      <c r="E55" s="231" t="s">
        <v>704</v>
      </c>
      <c r="F55" s="1348" t="s">
        <v>745</v>
      </c>
      <c r="G55" s="1349"/>
      <c r="H55" s="326" t="s">
        <v>678</v>
      </c>
      <c r="I55" s="232" t="s">
        <v>704</v>
      </c>
      <c r="J55" s="1350" t="s">
        <v>746</v>
      </c>
      <c r="K55" s="1351"/>
      <c r="L55" s="326"/>
      <c r="M55" s="232"/>
      <c r="N55" s="1350"/>
      <c r="O55" s="1351"/>
      <c r="P55" s="326"/>
      <c r="Q55" s="232"/>
      <c r="R55" s="1350"/>
      <c r="S55" s="1351"/>
    </row>
    <row r="56" spans="2:19" x14ac:dyDescent="0.35">
      <c r="B56" s="1347"/>
      <c r="C56" s="1296" t="s">
        <v>747</v>
      </c>
      <c r="D56" s="307" t="s">
        <v>677</v>
      </c>
      <c r="E56" s="287" t="s">
        <v>748</v>
      </c>
      <c r="F56" s="1287" t="s">
        <v>749</v>
      </c>
      <c r="G56" s="1353"/>
      <c r="H56" s="307" t="s">
        <v>677</v>
      </c>
      <c r="I56" s="287" t="s">
        <v>748</v>
      </c>
      <c r="J56" s="1287" t="s">
        <v>749</v>
      </c>
      <c r="K56" s="1353"/>
      <c r="L56" s="307" t="s">
        <v>677</v>
      </c>
      <c r="M56" s="287" t="s">
        <v>748</v>
      </c>
      <c r="N56" s="1287" t="s">
        <v>749</v>
      </c>
      <c r="O56" s="1353"/>
      <c r="P56" s="307" t="s">
        <v>677</v>
      </c>
      <c r="Q56" s="287" t="s">
        <v>748</v>
      </c>
      <c r="R56" s="1287" t="s">
        <v>749</v>
      </c>
      <c r="S56" s="1353"/>
    </row>
    <row r="57" spans="2:19" ht="45" customHeight="1" x14ac:dyDescent="0.35">
      <c r="B57" s="1347"/>
      <c r="C57" s="1347"/>
      <c r="D57" s="309" t="s">
        <v>678</v>
      </c>
      <c r="E57" s="231" t="s">
        <v>750</v>
      </c>
      <c r="F57" s="1389" t="s">
        <v>1639</v>
      </c>
      <c r="G57" s="1390"/>
      <c r="H57" s="311" t="s">
        <v>678</v>
      </c>
      <c r="I57" s="232" t="s">
        <v>750</v>
      </c>
      <c r="J57" s="1345" t="s">
        <v>751</v>
      </c>
      <c r="K57" s="1352"/>
      <c r="L57" s="967" t="s">
        <v>678</v>
      </c>
      <c r="M57" s="968" t="s">
        <v>750</v>
      </c>
      <c r="N57" s="1281" t="s">
        <v>1639</v>
      </c>
      <c r="O57" s="1354"/>
      <c r="P57" s="967" t="s">
        <v>678</v>
      </c>
      <c r="Q57" s="968" t="s">
        <v>750</v>
      </c>
      <c r="R57" s="1281" t="s">
        <v>751</v>
      </c>
      <c r="S57" s="1354"/>
    </row>
    <row r="58" spans="2:19" x14ac:dyDescent="0.35">
      <c r="B58" s="1297"/>
      <c r="C58" s="1297"/>
      <c r="D58" s="309"/>
      <c r="E58" s="231"/>
      <c r="F58" s="1314"/>
      <c r="G58" s="1315"/>
      <c r="H58" s="311"/>
      <c r="I58" s="232"/>
      <c r="J58" s="1345"/>
      <c r="K58" s="1352"/>
      <c r="L58" s="311"/>
      <c r="M58" s="232"/>
      <c r="N58" s="1345"/>
      <c r="O58" s="1352"/>
      <c r="P58" s="311"/>
      <c r="Q58" s="232"/>
      <c r="R58" s="1345"/>
      <c r="S58" s="1352"/>
    </row>
    <row r="59" spans="2:19" ht="14.5" customHeight="1" x14ac:dyDescent="0.35">
      <c r="B59" s="1283" t="s">
        <v>752</v>
      </c>
      <c r="C59" s="1283" t="s">
        <v>753</v>
      </c>
      <c r="D59" s="289" t="s">
        <v>754</v>
      </c>
      <c r="E59" s="1287" t="s">
        <v>727</v>
      </c>
      <c r="F59" s="1288"/>
      <c r="G59" s="308" t="s">
        <v>677</v>
      </c>
      <c r="H59" s="289" t="s">
        <v>754</v>
      </c>
      <c r="I59" s="1287" t="s">
        <v>727</v>
      </c>
      <c r="J59" s="1288"/>
      <c r="K59" s="308" t="s">
        <v>677</v>
      </c>
      <c r="L59" s="289" t="s">
        <v>754</v>
      </c>
      <c r="M59" s="1287" t="s">
        <v>727</v>
      </c>
      <c r="N59" s="1288"/>
      <c r="O59" s="308" t="s">
        <v>677</v>
      </c>
      <c r="P59" s="289" t="s">
        <v>754</v>
      </c>
      <c r="Q59" s="1287" t="s">
        <v>727</v>
      </c>
      <c r="R59" s="1288"/>
      <c r="S59" s="308" t="s">
        <v>677</v>
      </c>
    </row>
    <row r="60" spans="2:19" x14ac:dyDescent="0.35">
      <c r="B60" s="1283"/>
      <c r="C60" s="1283"/>
      <c r="D60" s="239">
        <v>1</v>
      </c>
      <c r="E60" s="1339" t="s">
        <v>755</v>
      </c>
      <c r="F60" s="1340"/>
      <c r="G60" s="327" t="s">
        <v>678</v>
      </c>
      <c r="H60" s="240">
        <v>1</v>
      </c>
      <c r="I60" s="1341" t="s">
        <v>756</v>
      </c>
      <c r="J60" s="1342"/>
      <c r="K60" s="328" t="s">
        <v>678</v>
      </c>
      <c r="L60" s="965">
        <v>1</v>
      </c>
      <c r="M60" s="1343" t="s">
        <v>756</v>
      </c>
      <c r="N60" s="1344"/>
      <c r="O60" s="966" t="s">
        <v>678</v>
      </c>
      <c r="P60" s="965">
        <v>1</v>
      </c>
      <c r="Q60" s="1343" t="s">
        <v>1638</v>
      </c>
      <c r="R60" s="1344"/>
      <c r="S60" s="966" t="s">
        <v>678</v>
      </c>
    </row>
    <row r="61" spans="2:19" x14ac:dyDescent="0.35">
      <c r="B61" s="1283"/>
      <c r="C61" s="1283"/>
      <c r="D61" s="239">
        <v>12</v>
      </c>
      <c r="E61" s="1339" t="s">
        <v>757</v>
      </c>
      <c r="F61" s="1340"/>
      <c r="G61" s="327" t="s">
        <v>678</v>
      </c>
      <c r="H61" s="240">
        <v>12</v>
      </c>
      <c r="I61" s="1345" t="s">
        <v>757</v>
      </c>
      <c r="J61" s="1346"/>
      <c r="K61" s="328" t="s">
        <v>678</v>
      </c>
      <c r="L61" s="965">
        <v>12</v>
      </c>
      <c r="M61" s="1281" t="s">
        <v>757</v>
      </c>
      <c r="N61" s="1282"/>
      <c r="O61" s="966" t="s">
        <v>678</v>
      </c>
      <c r="P61" s="965">
        <v>21</v>
      </c>
      <c r="Q61" s="1281" t="s">
        <v>757</v>
      </c>
      <c r="R61" s="1282"/>
      <c r="S61" s="966" t="s">
        <v>678</v>
      </c>
    </row>
    <row r="62" spans="2:19" ht="31.5" customHeight="1" x14ac:dyDescent="0.35">
      <c r="B62" s="1283"/>
      <c r="C62" s="1283"/>
      <c r="D62" s="969">
        <v>0</v>
      </c>
      <c r="E62" s="1279" t="s">
        <v>1640</v>
      </c>
      <c r="F62" s="1280"/>
      <c r="G62" s="327" t="s">
        <v>678</v>
      </c>
      <c r="H62" s="970">
        <v>30</v>
      </c>
      <c r="I62" s="1281" t="s">
        <v>1640</v>
      </c>
      <c r="J62" s="1282"/>
      <c r="K62" s="328" t="s">
        <v>678</v>
      </c>
      <c r="L62" s="971">
        <v>0</v>
      </c>
      <c r="M62" s="1281" t="s">
        <v>1640</v>
      </c>
      <c r="N62" s="1282"/>
      <c r="O62" s="966" t="s">
        <v>678</v>
      </c>
      <c r="P62" s="971">
        <v>30</v>
      </c>
      <c r="Q62" s="1281" t="s">
        <v>1641</v>
      </c>
      <c r="R62" s="1282"/>
      <c r="S62" s="966" t="s">
        <v>678</v>
      </c>
    </row>
    <row r="63" spans="2:19" ht="15" thickBot="1" x14ac:dyDescent="0.4">
      <c r="B63" s="95"/>
      <c r="C63" s="101"/>
      <c r="D63" s="98"/>
    </row>
    <row r="64" spans="2:19" ht="15" thickBot="1" x14ac:dyDescent="0.4">
      <c r="B64" s="95"/>
      <c r="C64" s="95"/>
      <c r="D64" s="1293" t="s">
        <v>679</v>
      </c>
      <c r="E64" s="1294"/>
      <c r="F64" s="1294"/>
      <c r="G64" s="1295"/>
      <c r="H64" s="1294" t="s">
        <v>680</v>
      </c>
      <c r="I64" s="1294"/>
      <c r="J64" s="1294"/>
      <c r="K64" s="1295"/>
      <c r="L64" s="1333" t="s">
        <v>681</v>
      </c>
      <c r="M64" s="1334"/>
      <c r="N64" s="1334"/>
      <c r="O64" s="1335"/>
      <c r="P64" s="1293" t="s">
        <v>682</v>
      </c>
      <c r="Q64" s="1294"/>
      <c r="R64" s="1294"/>
      <c r="S64" s="1295"/>
    </row>
    <row r="65" spans="2:19" x14ac:dyDescent="0.35">
      <c r="B65" s="1296" t="s">
        <v>758</v>
      </c>
      <c r="C65" s="1296" t="s">
        <v>759</v>
      </c>
      <c r="D65" s="1298" t="s">
        <v>760</v>
      </c>
      <c r="E65" s="1336"/>
      <c r="F65" s="317" t="s">
        <v>677</v>
      </c>
      <c r="G65" s="329" t="s">
        <v>727</v>
      </c>
      <c r="H65" s="1337" t="s">
        <v>760</v>
      </c>
      <c r="I65" s="1336"/>
      <c r="J65" s="317" t="s">
        <v>677</v>
      </c>
      <c r="K65" s="329" t="s">
        <v>727</v>
      </c>
      <c r="L65" s="1337" t="s">
        <v>760</v>
      </c>
      <c r="M65" s="1336"/>
      <c r="N65" s="317" t="s">
        <v>677</v>
      </c>
      <c r="O65" s="329" t="s">
        <v>727</v>
      </c>
      <c r="P65" s="1337" t="s">
        <v>760</v>
      </c>
      <c r="Q65" s="1336"/>
      <c r="R65" s="317" t="s">
        <v>677</v>
      </c>
      <c r="S65" s="329" t="s">
        <v>727</v>
      </c>
    </row>
    <row r="66" spans="2:19" x14ac:dyDescent="0.35">
      <c r="B66" s="1297"/>
      <c r="C66" s="1297"/>
      <c r="D66" s="1314" t="s">
        <v>696</v>
      </c>
      <c r="E66" s="1338"/>
      <c r="F66" s="325" t="s">
        <v>678</v>
      </c>
      <c r="G66" s="330" t="s">
        <v>761</v>
      </c>
      <c r="H66" s="331" t="s">
        <v>697</v>
      </c>
      <c r="I66" s="290"/>
      <c r="J66" s="326" t="s">
        <v>678</v>
      </c>
      <c r="K66" s="332" t="s">
        <v>761</v>
      </c>
      <c r="L66" s="331"/>
      <c r="M66" s="290"/>
      <c r="N66" s="326"/>
      <c r="O66" s="332"/>
      <c r="P66" s="331"/>
      <c r="Q66" s="290"/>
      <c r="R66" s="326"/>
      <c r="S66" s="332"/>
    </row>
    <row r="67" spans="2:19" ht="36" customHeight="1" x14ac:dyDescent="0.35">
      <c r="B67" s="1330" t="s">
        <v>762</v>
      </c>
      <c r="C67" s="1284" t="s">
        <v>763</v>
      </c>
      <c r="D67" s="307" t="s">
        <v>764</v>
      </c>
      <c r="E67" s="307" t="s">
        <v>765</v>
      </c>
      <c r="F67" s="289" t="s">
        <v>766</v>
      </c>
      <c r="G67" s="308" t="s">
        <v>767</v>
      </c>
      <c r="H67" s="307" t="s">
        <v>764</v>
      </c>
      <c r="I67" s="307" t="s">
        <v>765</v>
      </c>
      <c r="J67" s="289" t="s">
        <v>766</v>
      </c>
      <c r="K67" s="308" t="s">
        <v>767</v>
      </c>
      <c r="L67" s="307" t="s">
        <v>764</v>
      </c>
      <c r="M67" s="307" t="s">
        <v>765</v>
      </c>
      <c r="N67" s="289" t="s">
        <v>766</v>
      </c>
      <c r="O67" s="308" t="s">
        <v>767</v>
      </c>
      <c r="P67" s="307" t="s">
        <v>764</v>
      </c>
      <c r="Q67" s="307" t="s">
        <v>765</v>
      </c>
      <c r="R67" s="289" t="s">
        <v>766</v>
      </c>
      <c r="S67" s="308" t="s">
        <v>767</v>
      </c>
    </row>
    <row r="68" spans="2:19" x14ac:dyDescent="0.35">
      <c r="B68" s="1330"/>
      <c r="C68" s="1285"/>
      <c r="D68" s="1320" t="s">
        <v>768</v>
      </c>
      <c r="E68" s="1331">
        <v>34</v>
      </c>
      <c r="F68" s="1320" t="s">
        <v>769</v>
      </c>
      <c r="G68" s="1322" t="s">
        <v>770</v>
      </c>
      <c r="H68" s="1324" t="s">
        <v>768</v>
      </c>
      <c r="I68" s="1328">
        <v>34</v>
      </c>
      <c r="J68" s="1324" t="s">
        <v>769</v>
      </c>
      <c r="K68" s="1326" t="s">
        <v>697</v>
      </c>
      <c r="L68" s="1324" t="s">
        <v>768</v>
      </c>
      <c r="M68" s="1324"/>
      <c r="N68" s="1324" t="s">
        <v>769</v>
      </c>
      <c r="O68" s="1326" t="s">
        <v>770</v>
      </c>
      <c r="P68" s="1324" t="s">
        <v>768</v>
      </c>
      <c r="Q68" s="1328">
        <v>34</v>
      </c>
      <c r="R68" s="1324" t="s">
        <v>769</v>
      </c>
      <c r="S68" s="1326" t="s">
        <v>697</v>
      </c>
    </row>
    <row r="69" spans="2:19" x14ac:dyDescent="0.35">
      <c r="B69" s="1330"/>
      <c r="C69" s="1285"/>
      <c r="D69" s="1321"/>
      <c r="E69" s="1332"/>
      <c r="F69" s="1321"/>
      <c r="G69" s="1323"/>
      <c r="H69" s="1325"/>
      <c r="I69" s="1329"/>
      <c r="J69" s="1325"/>
      <c r="K69" s="1327"/>
      <c r="L69" s="1325"/>
      <c r="M69" s="1325"/>
      <c r="N69" s="1325"/>
      <c r="O69" s="1327"/>
      <c r="P69" s="1325"/>
      <c r="Q69" s="1329"/>
      <c r="R69" s="1325"/>
      <c r="S69" s="1327"/>
    </row>
    <row r="70" spans="2:19" ht="36" customHeight="1" x14ac:dyDescent="0.35">
      <c r="B70" s="1330"/>
      <c r="C70" s="1285"/>
      <c r="D70" s="307" t="s">
        <v>764</v>
      </c>
      <c r="E70" s="307" t="s">
        <v>765</v>
      </c>
      <c r="F70" s="289" t="s">
        <v>766</v>
      </c>
      <c r="G70" s="308" t="s">
        <v>767</v>
      </c>
      <c r="H70" s="307" t="s">
        <v>764</v>
      </c>
      <c r="I70" s="307" t="s">
        <v>765</v>
      </c>
      <c r="J70" s="289" t="s">
        <v>766</v>
      </c>
      <c r="K70" s="308" t="s">
        <v>767</v>
      </c>
      <c r="L70" s="307" t="s">
        <v>764</v>
      </c>
      <c r="M70" s="307" t="s">
        <v>765</v>
      </c>
      <c r="N70" s="289" t="s">
        <v>766</v>
      </c>
      <c r="O70" s="308" t="s">
        <v>767</v>
      </c>
      <c r="P70" s="307" t="s">
        <v>764</v>
      </c>
      <c r="Q70" s="307" t="s">
        <v>765</v>
      </c>
      <c r="R70" s="289" t="s">
        <v>766</v>
      </c>
      <c r="S70" s="308" t="s">
        <v>767</v>
      </c>
    </row>
    <row r="71" spans="2:19" x14ac:dyDescent="0.35">
      <c r="B71" s="1330"/>
      <c r="C71" s="1285"/>
      <c r="D71" s="1320" t="s">
        <v>771</v>
      </c>
      <c r="E71" s="1331">
        <v>3023</v>
      </c>
      <c r="F71" s="1320" t="s">
        <v>772</v>
      </c>
      <c r="G71" s="1322" t="s">
        <v>770</v>
      </c>
      <c r="H71" s="1324" t="s">
        <v>771</v>
      </c>
      <c r="I71" s="1328">
        <v>3023</v>
      </c>
      <c r="J71" s="1324" t="s">
        <v>772</v>
      </c>
      <c r="K71" s="1326" t="s">
        <v>773</v>
      </c>
      <c r="L71" s="1324" t="s">
        <v>771</v>
      </c>
      <c r="M71" s="1324"/>
      <c r="N71" s="1324" t="s">
        <v>772</v>
      </c>
      <c r="O71" s="1326" t="s">
        <v>770</v>
      </c>
      <c r="P71" s="1324" t="s">
        <v>771</v>
      </c>
      <c r="Q71" s="1328">
        <v>3023</v>
      </c>
      <c r="R71" s="1324" t="s">
        <v>772</v>
      </c>
      <c r="S71" s="1326" t="s">
        <v>773</v>
      </c>
    </row>
    <row r="72" spans="2:19" x14ac:dyDescent="0.35">
      <c r="B72" s="1330"/>
      <c r="C72" s="1285"/>
      <c r="D72" s="1321"/>
      <c r="E72" s="1332"/>
      <c r="F72" s="1321"/>
      <c r="G72" s="1323"/>
      <c r="H72" s="1325"/>
      <c r="I72" s="1329"/>
      <c r="J72" s="1325"/>
      <c r="K72" s="1327"/>
      <c r="L72" s="1325"/>
      <c r="M72" s="1325"/>
      <c r="N72" s="1325"/>
      <c r="O72" s="1327"/>
      <c r="P72" s="1325"/>
      <c r="Q72" s="1329"/>
      <c r="R72" s="1325"/>
      <c r="S72" s="1327"/>
    </row>
    <row r="73" spans="2:19" ht="36" customHeight="1" x14ac:dyDescent="0.35">
      <c r="B73" s="1330"/>
      <c r="C73" s="1285"/>
      <c r="D73" s="307" t="s">
        <v>764</v>
      </c>
      <c r="E73" s="307" t="s">
        <v>765</v>
      </c>
      <c r="F73" s="289" t="s">
        <v>766</v>
      </c>
      <c r="G73" s="308" t="s">
        <v>767</v>
      </c>
      <c r="H73" s="307" t="s">
        <v>764</v>
      </c>
      <c r="I73" s="307" t="s">
        <v>765</v>
      </c>
      <c r="J73" s="289" t="s">
        <v>766</v>
      </c>
      <c r="K73" s="308" t="s">
        <v>767</v>
      </c>
      <c r="L73" s="307" t="s">
        <v>764</v>
      </c>
      <c r="M73" s="307" t="s">
        <v>765</v>
      </c>
      <c r="N73" s="289" t="s">
        <v>766</v>
      </c>
      <c r="O73" s="308" t="s">
        <v>767</v>
      </c>
      <c r="P73" s="307" t="s">
        <v>764</v>
      </c>
      <c r="Q73" s="307" t="s">
        <v>765</v>
      </c>
      <c r="R73" s="289" t="s">
        <v>766</v>
      </c>
      <c r="S73" s="308" t="s">
        <v>767</v>
      </c>
    </row>
    <row r="74" spans="2:19" x14ac:dyDescent="0.35">
      <c r="B74" s="1330"/>
      <c r="C74" s="1285"/>
      <c r="D74" s="1320"/>
      <c r="E74" s="1318"/>
      <c r="F74" s="1320"/>
      <c r="G74" s="1322"/>
      <c r="H74" s="1324"/>
      <c r="I74" s="1324"/>
      <c r="J74" s="1324"/>
      <c r="K74" s="1326"/>
      <c r="L74" s="1324"/>
      <c r="M74" s="1324"/>
      <c r="N74" s="1324"/>
      <c r="O74" s="1326"/>
      <c r="P74" s="1324"/>
      <c r="Q74" s="1324"/>
      <c r="R74" s="1324"/>
      <c r="S74" s="1326"/>
    </row>
    <row r="75" spans="2:19" x14ac:dyDescent="0.35">
      <c r="B75" s="1330"/>
      <c r="C75" s="1285"/>
      <c r="D75" s="1321"/>
      <c r="E75" s="1319"/>
      <c r="F75" s="1321"/>
      <c r="G75" s="1323"/>
      <c r="H75" s="1325"/>
      <c r="I75" s="1325"/>
      <c r="J75" s="1325"/>
      <c r="K75" s="1327"/>
      <c r="L75" s="1325"/>
      <c r="M75" s="1325"/>
      <c r="N75" s="1325"/>
      <c r="O75" s="1327"/>
      <c r="P75" s="1325"/>
      <c r="Q75" s="1325"/>
      <c r="R75" s="1325"/>
      <c r="S75" s="1327"/>
    </row>
    <row r="76" spans="2:19" ht="36" customHeight="1" x14ac:dyDescent="0.35">
      <c r="B76" s="1330"/>
      <c r="C76" s="1285"/>
      <c r="D76" s="307" t="s">
        <v>764</v>
      </c>
      <c r="E76" s="307" t="s">
        <v>765</v>
      </c>
      <c r="F76" s="289" t="s">
        <v>766</v>
      </c>
      <c r="G76" s="308" t="s">
        <v>767</v>
      </c>
      <c r="H76" s="307" t="s">
        <v>764</v>
      </c>
      <c r="I76" s="307" t="s">
        <v>765</v>
      </c>
      <c r="J76" s="289" t="s">
        <v>766</v>
      </c>
      <c r="K76" s="308" t="s">
        <v>767</v>
      </c>
      <c r="L76" s="307" t="s">
        <v>764</v>
      </c>
      <c r="M76" s="307" t="s">
        <v>765</v>
      </c>
      <c r="N76" s="289" t="s">
        <v>766</v>
      </c>
      <c r="O76" s="308" t="s">
        <v>767</v>
      </c>
      <c r="P76" s="307" t="s">
        <v>764</v>
      </c>
      <c r="Q76" s="307" t="s">
        <v>765</v>
      </c>
      <c r="R76" s="289" t="s">
        <v>766</v>
      </c>
      <c r="S76" s="308" t="s">
        <v>767</v>
      </c>
    </row>
    <row r="77" spans="2:19" x14ac:dyDescent="0.35">
      <c r="B77" s="1330"/>
      <c r="C77" s="1285"/>
      <c r="D77" s="1320"/>
      <c r="E77" s="1318"/>
      <c r="F77" s="1320"/>
      <c r="G77" s="1322"/>
      <c r="H77" s="1324"/>
      <c r="I77" s="1324"/>
      <c r="J77" s="1324"/>
      <c r="K77" s="1326"/>
      <c r="L77" s="1324"/>
      <c r="M77" s="1324"/>
      <c r="N77" s="1324"/>
      <c r="O77" s="1326"/>
      <c r="P77" s="1324"/>
      <c r="Q77" s="1324"/>
      <c r="R77" s="1324"/>
      <c r="S77" s="1326"/>
    </row>
    <row r="78" spans="2:19" x14ac:dyDescent="0.35">
      <c r="B78" s="1330"/>
      <c r="C78" s="1286"/>
      <c r="D78" s="1321"/>
      <c r="E78" s="1319"/>
      <c r="F78" s="1321"/>
      <c r="G78" s="1323"/>
      <c r="H78" s="1325"/>
      <c r="I78" s="1325"/>
      <c r="J78" s="1325"/>
      <c r="K78" s="1327"/>
      <c r="L78" s="1325"/>
      <c r="M78" s="1325"/>
      <c r="N78" s="1325"/>
      <c r="O78" s="1327"/>
      <c r="P78" s="1325"/>
      <c r="Q78" s="1325"/>
      <c r="R78" s="1325"/>
      <c r="S78" s="1327"/>
    </row>
    <row r="79" spans="2:19" ht="15" thickBot="1" x14ac:dyDescent="0.4">
      <c r="B79" s="95"/>
      <c r="C79" s="95"/>
    </row>
    <row r="80" spans="2:19" ht="15" thickBot="1" x14ac:dyDescent="0.4">
      <c r="B80" s="95"/>
      <c r="C80" s="95"/>
      <c r="D80" s="1293" t="s">
        <v>679</v>
      </c>
      <c r="E80" s="1294"/>
      <c r="F80" s="1294"/>
      <c r="G80" s="1295"/>
      <c r="H80" s="1333" t="s">
        <v>774</v>
      </c>
      <c r="I80" s="1334"/>
      <c r="J80" s="1334"/>
      <c r="K80" s="1335"/>
      <c r="L80" s="1333" t="s">
        <v>681</v>
      </c>
      <c r="M80" s="1334"/>
      <c r="N80" s="1334"/>
      <c r="O80" s="1335"/>
      <c r="P80" s="1333" t="s">
        <v>682</v>
      </c>
      <c r="Q80" s="1334"/>
      <c r="R80" s="1334"/>
      <c r="S80" s="1335"/>
    </row>
    <row r="81" spans="2:19" x14ac:dyDescent="0.35">
      <c r="B81" s="1312" t="s">
        <v>775</v>
      </c>
      <c r="C81" s="1296" t="s">
        <v>776</v>
      </c>
      <c r="D81" s="285" t="s">
        <v>777</v>
      </c>
      <c r="E81" s="102" t="s">
        <v>778</v>
      </c>
      <c r="F81" s="1298" t="s">
        <v>779</v>
      </c>
      <c r="G81" s="1300"/>
      <c r="H81" s="285" t="s">
        <v>777</v>
      </c>
      <c r="I81" s="102" t="s">
        <v>778</v>
      </c>
      <c r="J81" s="1298" t="s">
        <v>779</v>
      </c>
      <c r="K81" s="1300"/>
      <c r="L81" s="285" t="s">
        <v>777</v>
      </c>
      <c r="M81" s="102" t="s">
        <v>778</v>
      </c>
      <c r="N81" s="1298" t="s">
        <v>779</v>
      </c>
      <c r="O81" s="1300"/>
      <c r="P81" s="285" t="s">
        <v>777</v>
      </c>
      <c r="Q81" s="102" t="s">
        <v>778</v>
      </c>
      <c r="R81" s="1298" t="s">
        <v>779</v>
      </c>
      <c r="S81" s="1300"/>
    </row>
    <row r="82" spans="2:19" x14ac:dyDescent="0.35">
      <c r="B82" s="1313"/>
      <c r="C82" s="1297"/>
      <c r="D82" s="244">
        <v>15000</v>
      </c>
      <c r="E82" s="245">
        <v>0.5</v>
      </c>
      <c r="F82" s="1314" t="s">
        <v>780</v>
      </c>
      <c r="G82" s="1315"/>
      <c r="H82" s="242">
        <v>15000</v>
      </c>
      <c r="I82" s="241">
        <v>0.5</v>
      </c>
      <c r="J82" s="1316" t="s">
        <v>781</v>
      </c>
      <c r="K82" s="1317"/>
      <c r="L82" s="242">
        <v>2129</v>
      </c>
      <c r="M82" s="233">
        <v>0.53</v>
      </c>
      <c r="N82" s="1316" t="s">
        <v>781</v>
      </c>
      <c r="O82" s="1317"/>
      <c r="P82" s="242">
        <v>12693</v>
      </c>
      <c r="Q82" s="241">
        <v>0.53</v>
      </c>
      <c r="R82" s="1316" t="s">
        <v>781</v>
      </c>
      <c r="S82" s="1317"/>
    </row>
    <row r="83" spans="2:19" ht="24" customHeight="1" x14ac:dyDescent="0.35">
      <c r="B83" s="1313"/>
      <c r="C83" s="1312" t="s">
        <v>782</v>
      </c>
      <c r="D83" s="333" t="s">
        <v>777</v>
      </c>
      <c r="E83" s="307" t="s">
        <v>778</v>
      </c>
      <c r="F83" s="307" t="s">
        <v>783</v>
      </c>
      <c r="G83" s="286" t="s">
        <v>784</v>
      </c>
      <c r="H83" s="333" t="s">
        <v>777</v>
      </c>
      <c r="I83" s="307" t="s">
        <v>778</v>
      </c>
      <c r="J83" s="307" t="s">
        <v>783</v>
      </c>
      <c r="K83" s="286" t="s">
        <v>784</v>
      </c>
      <c r="L83" s="333" t="s">
        <v>777</v>
      </c>
      <c r="M83" s="307" t="s">
        <v>778</v>
      </c>
      <c r="N83" s="307" t="s">
        <v>783</v>
      </c>
      <c r="O83" s="286" t="s">
        <v>784</v>
      </c>
      <c r="P83" s="333" t="s">
        <v>777</v>
      </c>
      <c r="Q83" s="307" t="s">
        <v>778</v>
      </c>
      <c r="R83" s="307" t="s">
        <v>783</v>
      </c>
      <c r="S83" s="286" t="s">
        <v>784</v>
      </c>
    </row>
    <row r="84" spans="2:19" x14ac:dyDescent="0.35">
      <c r="B84" s="1313"/>
      <c r="C84" s="1313"/>
      <c r="D84" s="244">
        <v>15000</v>
      </c>
      <c r="E84" s="299">
        <v>0.5</v>
      </c>
      <c r="F84" s="231"/>
      <c r="G84" s="330" t="s">
        <v>785</v>
      </c>
      <c r="H84" s="242">
        <v>15000</v>
      </c>
      <c r="I84" s="301">
        <v>0.5</v>
      </c>
      <c r="J84" s="232"/>
      <c r="K84" s="332" t="s">
        <v>785</v>
      </c>
      <c r="L84" s="242">
        <v>2129</v>
      </c>
      <c r="M84" s="334">
        <v>0.53</v>
      </c>
      <c r="N84" s="232"/>
      <c r="O84" s="332" t="s">
        <v>785</v>
      </c>
      <c r="P84" s="242">
        <v>12693</v>
      </c>
      <c r="Q84" s="301">
        <v>0.53</v>
      </c>
      <c r="R84" s="232"/>
      <c r="S84" s="332" t="s">
        <v>785</v>
      </c>
    </row>
    <row r="85" spans="2:19" x14ac:dyDescent="0.35">
      <c r="B85" s="1307" t="s">
        <v>786</v>
      </c>
      <c r="C85" s="1310" t="s">
        <v>787</v>
      </c>
      <c r="D85" s="335" t="s">
        <v>788</v>
      </c>
      <c r="E85" s="335" t="s">
        <v>789</v>
      </c>
      <c r="F85" s="335" t="s">
        <v>677</v>
      </c>
      <c r="G85" s="336" t="s">
        <v>790</v>
      </c>
      <c r="H85" s="222" t="s">
        <v>788</v>
      </c>
      <c r="I85" s="335" t="s">
        <v>789</v>
      </c>
      <c r="J85" s="335" t="s">
        <v>677</v>
      </c>
      <c r="K85" s="336" t="s">
        <v>790</v>
      </c>
      <c r="L85" s="335" t="s">
        <v>788</v>
      </c>
      <c r="M85" s="335" t="s">
        <v>789</v>
      </c>
      <c r="N85" s="335" t="s">
        <v>677</v>
      </c>
      <c r="O85" s="336" t="s">
        <v>790</v>
      </c>
      <c r="P85" s="335" t="s">
        <v>788</v>
      </c>
      <c r="Q85" s="335" t="s">
        <v>789</v>
      </c>
      <c r="R85" s="335" t="s">
        <v>677</v>
      </c>
      <c r="S85" s="336" t="s">
        <v>790</v>
      </c>
    </row>
    <row r="86" spans="2:19" x14ac:dyDescent="0.35">
      <c r="B86" s="1308"/>
      <c r="C86" s="1311"/>
      <c r="D86" s="294">
        <v>50</v>
      </c>
      <c r="E86" s="337" t="s">
        <v>791</v>
      </c>
      <c r="F86" s="337" t="s">
        <v>678</v>
      </c>
      <c r="G86" s="337" t="s">
        <v>792</v>
      </c>
      <c r="H86" s="240">
        <v>50</v>
      </c>
      <c r="I86" s="338" t="s">
        <v>791</v>
      </c>
      <c r="J86" s="338" t="s">
        <v>678</v>
      </c>
      <c r="K86" s="328" t="s">
        <v>792</v>
      </c>
      <c r="L86" s="297">
        <v>8</v>
      </c>
      <c r="M86" s="338" t="s">
        <v>791</v>
      </c>
      <c r="N86" s="338" t="s">
        <v>678</v>
      </c>
      <c r="O86" s="328" t="s">
        <v>792</v>
      </c>
      <c r="P86" s="297">
        <v>45</v>
      </c>
      <c r="Q86" s="338" t="s">
        <v>791</v>
      </c>
      <c r="R86" s="338" t="s">
        <v>678</v>
      </c>
      <c r="S86" s="328" t="s">
        <v>792</v>
      </c>
    </row>
    <row r="87" spans="2:19" ht="24" customHeight="1" x14ac:dyDescent="0.35">
      <c r="B87" s="1308"/>
      <c r="C87" s="1307" t="s">
        <v>793</v>
      </c>
      <c r="D87" s="307" t="s">
        <v>794</v>
      </c>
      <c r="E87" s="1287" t="s">
        <v>795</v>
      </c>
      <c r="F87" s="1288"/>
      <c r="G87" s="308" t="s">
        <v>796</v>
      </c>
      <c r="H87" s="307" t="s">
        <v>794</v>
      </c>
      <c r="I87" s="1287" t="s">
        <v>795</v>
      </c>
      <c r="J87" s="1288"/>
      <c r="K87" s="308" t="s">
        <v>796</v>
      </c>
      <c r="L87" s="307" t="s">
        <v>794</v>
      </c>
      <c r="M87" s="1287" t="s">
        <v>795</v>
      </c>
      <c r="N87" s="1288"/>
      <c r="O87" s="308" t="s">
        <v>796</v>
      </c>
      <c r="P87" s="307" t="s">
        <v>794</v>
      </c>
      <c r="Q87" s="307" t="s">
        <v>795</v>
      </c>
      <c r="R87" s="1287" t="s">
        <v>795</v>
      </c>
      <c r="S87" s="1288"/>
    </row>
    <row r="88" spans="2:19" x14ac:dyDescent="0.35">
      <c r="B88" s="1309"/>
      <c r="C88" s="1309"/>
      <c r="D88" s="339">
        <v>15000</v>
      </c>
      <c r="E88" s="1289" t="s">
        <v>785</v>
      </c>
      <c r="F88" s="1290"/>
      <c r="G88" s="340">
        <v>150</v>
      </c>
      <c r="H88" s="341">
        <v>15000</v>
      </c>
      <c r="I88" s="1291" t="s">
        <v>785</v>
      </c>
      <c r="J88" s="1292"/>
      <c r="K88" s="243">
        <v>150</v>
      </c>
      <c r="L88" s="341">
        <v>2132</v>
      </c>
      <c r="M88" s="1291" t="s">
        <v>785</v>
      </c>
      <c r="N88" s="1292"/>
      <c r="O88" s="342">
        <v>150</v>
      </c>
      <c r="P88" s="341">
        <v>12693</v>
      </c>
      <c r="Q88" s="311" t="s">
        <v>785</v>
      </c>
      <c r="R88" s="1291" t="s">
        <v>785</v>
      </c>
      <c r="S88" s="1292"/>
    </row>
    <row r="89" spans="2:19" ht="15" thickBot="1" x14ac:dyDescent="0.4">
      <c r="B89" s="95"/>
      <c r="C89" s="95"/>
    </row>
    <row r="90" spans="2:19" ht="15" thickBot="1" x14ac:dyDescent="0.4">
      <c r="B90" s="95"/>
      <c r="C90" s="95"/>
      <c r="D90" s="1293" t="s">
        <v>679</v>
      </c>
      <c r="E90" s="1294"/>
      <c r="F90" s="1294"/>
      <c r="G90" s="1295"/>
      <c r="H90" s="1293" t="s">
        <v>680</v>
      </c>
      <c r="I90" s="1294"/>
      <c r="J90" s="1294"/>
      <c r="K90" s="1295"/>
      <c r="L90" s="1294" t="s">
        <v>681</v>
      </c>
      <c r="M90" s="1294"/>
      <c r="N90" s="1294"/>
      <c r="O90" s="1294"/>
      <c r="P90" s="1293" t="s">
        <v>682</v>
      </c>
      <c r="Q90" s="1294"/>
      <c r="R90" s="1294"/>
      <c r="S90" s="1295"/>
    </row>
    <row r="91" spans="2:19" x14ac:dyDescent="0.35">
      <c r="B91" s="1296" t="s">
        <v>797</v>
      </c>
      <c r="C91" s="1296" t="s">
        <v>798</v>
      </c>
      <c r="D91" s="1298" t="s">
        <v>799</v>
      </c>
      <c r="E91" s="1299"/>
      <c r="F91" s="1299"/>
      <c r="G91" s="1300"/>
      <c r="H91" s="1298" t="s">
        <v>799</v>
      </c>
      <c r="I91" s="1299"/>
      <c r="J91" s="1299"/>
      <c r="K91" s="1300"/>
      <c r="L91" s="1298" t="s">
        <v>799</v>
      </c>
      <c r="M91" s="1299"/>
      <c r="N91" s="1299"/>
      <c r="O91" s="1300"/>
      <c r="P91" s="1298" t="s">
        <v>799</v>
      </c>
      <c r="Q91" s="1299"/>
      <c r="R91" s="1299"/>
      <c r="S91" s="1300"/>
    </row>
    <row r="92" spans="2:19" x14ac:dyDescent="0.35">
      <c r="B92" s="1297"/>
      <c r="C92" s="1297"/>
      <c r="D92" s="1301" t="s">
        <v>800</v>
      </c>
      <c r="E92" s="1302"/>
      <c r="F92" s="1302"/>
      <c r="G92" s="1303"/>
      <c r="H92" s="1304" t="s">
        <v>801</v>
      </c>
      <c r="I92" s="1305"/>
      <c r="J92" s="1305"/>
      <c r="K92" s="1306"/>
      <c r="L92" s="1304" t="s">
        <v>802</v>
      </c>
      <c r="M92" s="1305"/>
      <c r="N92" s="1305"/>
      <c r="O92" s="1306"/>
      <c r="P92" s="1304" t="s">
        <v>801</v>
      </c>
      <c r="Q92" s="1305"/>
      <c r="R92" s="1305"/>
      <c r="S92" s="1306"/>
    </row>
    <row r="93" spans="2:19" x14ac:dyDescent="0.35">
      <c r="B93" s="1284" t="s">
        <v>803</v>
      </c>
      <c r="C93" s="1284" t="s">
        <v>804</v>
      </c>
      <c r="D93" s="335" t="s">
        <v>805</v>
      </c>
      <c r="E93" s="318" t="s">
        <v>677</v>
      </c>
      <c r="F93" s="307" t="s">
        <v>702</v>
      </c>
      <c r="G93" s="308" t="s">
        <v>727</v>
      </c>
      <c r="H93" s="335" t="s">
        <v>805</v>
      </c>
      <c r="I93" s="318" t="s">
        <v>677</v>
      </c>
      <c r="J93" s="307" t="s">
        <v>702</v>
      </c>
      <c r="K93" s="308" t="s">
        <v>727</v>
      </c>
      <c r="L93" s="335" t="s">
        <v>805</v>
      </c>
      <c r="M93" s="318" t="s">
        <v>677</v>
      </c>
      <c r="N93" s="307" t="s">
        <v>702</v>
      </c>
      <c r="O93" s="308" t="s">
        <v>727</v>
      </c>
      <c r="P93" s="335" t="s">
        <v>805</v>
      </c>
      <c r="Q93" s="318" t="s">
        <v>677</v>
      </c>
      <c r="R93" s="307" t="s">
        <v>702</v>
      </c>
      <c r="S93" s="308" t="s">
        <v>727</v>
      </c>
    </row>
    <row r="94" spans="2:19" x14ac:dyDescent="0.35">
      <c r="B94" s="1285"/>
      <c r="C94" s="1286"/>
      <c r="D94" s="294">
        <v>0</v>
      </c>
      <c r="E94" s="343" t="s">
        <v>678</v>
      </c>
      <c r="F94" s="309" t="s">
        <v>806</v>
      </c>
      <c r="G94" s="327" t="s">
        <v>807</v>
      </c>
      <c r="H94" s="297">
        <v>1</v>
      </c>
      <c r="I94" s="223" t="s">
        <v>678</v>
      </c>
      <c r="J94" s="338" t="s">
        <v>806</v>
      </c>
      <c r="K94" s="288" t="s">
        <v>807</v>
      </c>
      <c r="L94" s="297">
        <v>0</v>
      </c>
      <c r="M94" s="223" t="s">
        <v>678</v>
      </c>
      <c r="N94" s="338" t="s">
        <v>806</v>
      </c>
      <c r="O94" s="288" t="s">
        <v>807</v>
      </c>
      <c r="P94" s="297">
        <v>0</v>
      </c>
      <c r="Q94" s="223" t="s">
        <v>678</v>
      </c>
      <c r="R94" s="338" t="s">
        <v>806</v>
      </c>
      <c r="S94" s="288" t="s">
        <v>807</v>
      </c>
    </row>
    <row r="95" spans="2:19" x14ac:dyDescent="0.35">
      <c r="B95" s="1285"/>
      <c r="C95" s="1284" t="s">
        <v>808</v>
      </c>
      <c r="D95" s="307" t="s">
        <v>809</v>
      </c>
      <c r="E95" s="1287" t="s">
        <v>810</v>
      </c>
      <c r="F95" s="1288"/>
      <c r="G95" s="308" t="s">
        <v>811</v>
      </c>
      <c r="H95" s="307" t="s">
        <v>809</v>
      </c>
      <c r="I95" s="1287" t="s">
        <v>810</v>
      </c>
      <c r="J95" s="1288"/>
      <c r="K95" s="308" t="s">
        <v>811</v>
      </c>
      <c r="L95" s="307" t="s">
        <v>809</v>
      </c>
      <c r="M95" s="1287" t="s">
        <v>810</v>
      </c>
      <c r="N95" s="1288"/>
      <c r="O95" s="308" t="s">
        <v>811</v>
      </c>
      <c r="P95" s="307" t="s">
        <v>809</v>
      </c>
      <c r="Q95" s="1287" t="s">
        <v>810</v>
      </c>
      <c r="R95" s="1288"/>
      <c r="S95" s="308" t="s">
        <v>811</v>
      </c>
    </row>
    <row r="96" spans="2:19" x14ac:dyDescent="0.35">
      <c r="B96" s="1286"/>
      <c r="C96" s="1286"/>
      <c r="D96" s="339">
        <v>50</v>
      </c>
      <c r="E96" s="1289" t="s">
        <v>812</v>
      </c>
      <c r="F96" s="1290"/>
      <c r="G96" s="315" t="s">
        <v>696</v>
      </c>
      <c r="H96" s="341">
        <v>50</v>
      </c>
      <c r="I96" s="1291" t="s">
        <v>813</v>
      </c>
      <c r="J96" s="1292"/>
      <c r="K96" s="316" t="s">
        <v>697</v>
      </c>
      <c r="L96" s="341">
        <v>8</v>
      </c>
      <c r="M96" s="1291" t="s">
        <v>814</v>
      </c>
      <c r="N96" s="1292"/>
      <c r="O96" s="316" t="s">
        <v>770</v>
      </c>
      <c r="P96" s="341">
        <v>45</v>
      </c>
      <c r="Q96" s="1291" t="s">
        <v>814</v>
      </c>
      <c r="R96" s="1292"/>
      <c r="S96" s="316" t="s">
        <v>815</v>
      </c>
    </row>
    <row r="108" spans="5:5" x14ac:dyDescent="0.35">
      <c r="E108" s="103"/>
    </row>
    <row r="109" spans="5:5" x14ac:dyDescent="0.35">
      <c r="E109" s="104"/>
    </row>
    <row r="110" spans="5:5" x14ac:dyDescent="0.35">
      <c r="E110" s="105"/>
    </row>
    <row r="122" spans="4:4" x14ac:dyDescent="0.35">
      <c r="D122" s="106"/>
    </row>
    <row r="123" spans="4:4" x14ac:dyDescent="0.35">
      <c r="D123" s="106"/>
    </row>
    <row r="124" spans="4:4" x14ac:dyDescent="0.35">
      <c r="D124" s="106"/>
    </row>
    <row r="129" spans="2:2" x14ac:dyDescent="0.35">
      <c r="B129" s="112"/>
    </row>
    <row r="130" spans="2:2" x14ac:dyDescent="0.35">
      <c r="B130" s="112"/>
    </row>
    <row r="131" spans="2:2" x14ac:dyDescent="0.35">
      <c r="B131" s="112"/>
    </row>
    <row r="132" spans="2:2" x14ac:dyDescent="0.35">
      <c r="B132" s="112"/>
    </row>
    <row r="133" spans="2:2" x14ac:dyDescent="0.35">
      <c r="B133" s="112"/>
    </row>
    <row r="134" spans="2:2" x14ac:dyDescent="0.35">
      <c r="B134" s="112"/>
    </row>
    <row r="135" spans="2:2" x14ac:dyDescent="0.35">
      <c r="B135" s="112"/>
    </row>
    <row r="136" spans="2:2" x14ac:dyDescent="0.35">
      <c r="B136" s="112"/>
    </row>
    <row r="137" spans="2:2" x14ac:dyDescent="0.35">
      <c r="B137" s="112"/>
    </row>
    <row r="138" spans="2:2" x14ac:dyDescent="0.35">
      <c r="B138" s="112"/>
    </row>
    <row r="139" spans="2:2" x14ac:dyDescent="0.35">
      <c r="B139" s="112"/>
    </row>
    <row r="140" spans="2:2" x14ac:dyDescent="0.35">
      <c r="B140" s="112"/>
    </row>
    <row r="141" spans="2:2" x14ac:dyDescent="0.35">
      <c r="B141" s="112"/>
    </row>
    <row r="142" spans="2:2" x14ac:dyDescent="0.35">
      <c r="B142" s="112"/>
    </row>
    <row r="143" spans="2:2" x14ac:dyDescent="0.35">
      <c r="B143" s="112"/>
    </row>
    <row r="144" spans="2:2" x14ac:dyDescent="0.35">
      <c r="B144" s="112"/>
    </row>
    <row r="145" spans="2:4" x14ac:dyDescent="0.35">
      <c r="B145" s="112"/>
    </row>
    <row r="146" spans="2:4" x14ac:dyDescent="0.35">
      <c r="B146" s="112"/>
    </row>
    <row r="147" spans="2:4" x14ac:dyDescent="0.35">
      <c r="B147" s="112"/>
    </row>
    <row r="148" spans="2:4" x14ac:dyDescent="0.35">
      <c r="B148" s="112"/>
    </row>
    <row r="149" spans="2:4" x14ac:dyDescent="0.35">
      <c r="B149" s="112"/>
      <c r="D149"/>
    </row>
    <row r="150" spans="2:4" x14ac:dyDescent="0.35">
      <c r="B150" s="112"/>
      <c r="D150"/>
    </row>
    <row r="151" spans="2:4" x14ac:dyDescent="0.35">
      <c r="B151" s="112"/>
      <c r="D151"/>
    </row>
    <row r="152" spans="2:4" x14ac:dyDescent="0.35">
      <c r="B152" s="112"/>
      <c r="D152"/>
    </row>
    <row r="153" spans="2:4" x14ac:dyDescent="0.35">
      <c r="B153" s="112"/>
      <c r="D153"/>
    </row>
    <row r="154" spans="2:4" x14ac:dyDescent="0.35">
      <c r="B154" s="112"/>
      <c r="D154"/>
    </row>
    <row r="155" spans="2:4" x14ac:dyDescent="0.35">
      <c r="B155" s="112"/>
    </row>
    <row r="156" spans="2:4" x14ac:dyDescent="0.35">
      <c r="B156" s="112"/>
    </row>
    <row r="157" spans="2:4" x14ac:dyDescent="0.35">
      <c r="B157" s="112"/>
    </row>
    <row r="158" spans="2:4" x14ac:dyDescent="0.35">
      <c r="B158" s="112"/>
    </row>
    <row r="159" spans="2:4" x14ac:dyDescent="0.35">
      <c r="B159" s="112"/>
    </row>
    <row r="160" spans="2:4" x14ac:dyDescent="0.35">
      <c r="B160" s="112"/>
    </row>
    <row r="161" spans="2:2" x14ac:dyDescent="0.35">
      <c r="B161" s="112"/>
    </row>
    <row r="162" spans="2:2" x14ac:dyDescent="0.35">
      <c r="B162" s="112"/>
    </row>
    <row r="163" spans="2:2" x14ac:dyDescent="0.35">
      <c r="B163" s="112"/>
    </row>
    <row r="164" spans="2:2" x14ac:dyDescent="0.35">
      <c r="B164" s="112"/>
    </row>
    <row r="165" spans="2:2" x14ac:dyDescent="0.35">
      <c r="B165" s="112"/>
    </row>
    <row r="166" spans="2:2" x14ac:dyDescent="0.35">
      <c r="B166" s="112"/>
    </row>
    <row r="167" spans="2:2" x14ac:dyDescent="0.35">
      <c r="B167" s="112"/>
    </row>
    <row r="168" spans="2:2" x14ac:dyDescent="0.35">
      <c r="B168" s="112"/>
    </row>
    <row r="169" spans="2:2" x14ac:dyDescent="0.35">
      <c r="B169" s="112"/>
    </row>
    <row r="170" spans="2:2" x14ac:dyDescent="0.35">
      <c r="B170" s="112"/>
    </row>
    <row r="171" spans="2:2" x14ac:dyDescent="0.35">
      <c r="B171" s="112"/>
    </row>
    <row r="172" spans="2:2" x14ac:dyDescent="0.35">
      <c r="B172" s="112"/>
    </row>
    <row r="173" spans="2:2" x14ac:dyDescent="0.35">
      <c r="B173" s="112"/>
    </row>
    <row r="174" spans="2:2" x14ac:dyDescent="0.35">
      <c r="B174" s="112"/>
    </row>
    <row r="175" spans="2:2" x14ac:dyDescent="0.35">
      <c r="B175" s="112"/>
    </row>
    <row r="176" spans="2:2" x14ac:dyDescent="0.35">
      <c r="B176" s="112"/>
    </row>
    <row r="177" spans="2:2" x14ac:dyDescent="0.35">
      <c r="B177" s="112"/>
    </row>
    <row r="178" spans="2:2" x14ac:dyDescent="0.35">
      <c r="B178" s="112"/>
    </row>
    <row r="179" spans="2:2" x14ac:dyDescent="0.35">
      <c r="B179" s="112"/>
    </row>
    <row r="180" spans="2:2" x14ac:dyDescent="0.35">
      <c r="B180" s="112"/>
    </row>
    <row r="181" spans="2:2" x14ac:dyDescent="0.35">
      <c r="B181" s="112"/>
    </row>
    <row r="182" spans="2:2" x14ac:dyDescent="0.35">
      <c r="B182" s="112"/>
    </row>
    <row r="183" spans="2:2" x14ac:dyDescent="0.35">
      <c r="B183" s="112"/>
    </row>
    <row r="184" spans="2:2" x14ac:dyDescent="0.35">
      <c r="B184" s="112"/>
    </row>
    <row r="185" spans="2:2" x14ac:dyDescent="0.35">
      <c r="B185" s="112"/>
    </row>
    <row r="186" spans="2:2" x14ac:dyDescent="0.35">
      <c r="B186" s="112"/>
    </row>
    <row r="187" spans="2:2" x14ac:dyDescent="0.35">
      <c r="B187" s="112"/>
    </row>
    <row r="188" spans="2:2" x14ac:dyDescent="0.35">
      <c r="B188" s="112"/>
    </row>
    <row r="189" spans="2:2" x14ac:dyDescent="0.35">
      <c r="B189" s="112"/>
    </row>
    <row r="190" spans="2:2" x14ac:dyDescent="0.35">
      <c r="B190" s="112"/>
    </row>
    <row r="191" spans="2:2" x14ac:dyDescent="0.35">
      <c r="B191" s="112"/>
    </row>
    <row r="192" spans="2:2" x14ac:dyDescent="0.35">
      <c r="B192" s="112"/>
    </row>
    <row r="193" spans="2:2" x14ac:dyDescent="0.35">
      <c r="B193" s="112"/>
    </row>
    <row r="194" spans="2:2" x14ac:dyDescent="0.35">
      <c r="B194" s="112"/>
    </row>
    <row r="195" spans="2:2" x14ac:dyDescent="0.35">
      <c r="B195" s="112"/>
    </row>
    <row r="196" spans="2:2" x14ac:dyDescent="0.35">
      <c r="B196" s="112"/>
    </row>
    <row r="197" spans="2:2" x14ac:dyDescent="0.35">
      <c r="B197" s="112"/>
    </row>
    <row r="198" spans="2:2" x14ac:dyDescent="0.35">
      <c r="B198" s="112"/>
    </row>
    <row r="199" spans="2:2" x14ac:dyDescent="0.35">
      <c r="B199" s="112"/>
    </row>
    <row r="200" spans="2:2" x14ac:dyDescent="0.35">
      <c r="B200" s="112"/>
    </row>
    <row r="201" spans="2:2" x14ac:dyDescent="0.35">
      <c r="B201" s="112"/>
    </row>
    <row r="202" spans="2:2" x14ac:dyDescent="0.35">
      <c r="B202" s="112"/>
    </row>
    <row r="203" spans="2:2" x14ac:dyDescent="0.35">
      <c r="B203" s="112"/>
    </row>
    <row r="204" spans="2:2" x14ac:dyDescent="0.35">
      <c r="B204" s="112"/>
    </row>
    <row r="205" spans="2:2" x14ac:dyDescent="0.35">
      <c r="B205" s="112"/>
    </row>
    <row r="206" spans="2:2" x14ac:dyDescent="0.35">
      <c r="B206" s="112"/>
    </row>
    <row r="207" spans="2:2" x14ac:dyDescent="0.35">
      <c r="B207" s="112"/>
    </row>
    <row r="208" spans="2:2" x14ac:dyDescent="0.35">
      <c r="B208" s="112"/>
    </row>
    <row r="209" spans="2:2" x14ac:dyDescent="0.35">
      <c r="B209" s="112"/>
    </row>
    <row r="210" spans="2:2" x14ac:dyDescent="0.35">
      <c r="B210" s="112"/>
    </row>
    <row r="211" spans="2:2" x14ac:dyDescent="0.35">
      <c r="B211" s="112"/>
    </row>
    <row r="212" spans="2:2" x14ac:dyDescent="0.35">
      <c r="B212" s="112"/>
    </row>
    <row r="213" spans="2:2" x14ac:dyDescent="0.35">
      <c r="B213" s="112"/>
    </row>
    <row r="214" spans="2:2" x14ac:dyDescent="0.35">
      <c r="B214" s="112"/>
    </row>
    <row r="215" spans="2:2" x14ac:dyDescent="0.35">
      <c r="B215" s="112"/>
    </row>
    <row r="216" spans="2:2" x14ac:dyDescent="0.35">
      <c r="B216" s="112"/>
    </row>
    <row r="217" spans="2:2" x14ac:dyDescent="0.35">
      <c r="B217" s="112"/>
    </row>
    <row r="218" spans="2:2" x14ac:dyDescent="0.35">
      <c r="B218" s="112"/>
    </row>
    <row r="219" spans="2:2" x14ac:dyDescent="0.35">
      <c r="B219" s="112"/>
    </row>
    <row r="220" spans="2:2" x14ac:dyDescent="0.35">
      <c r="B220" s="112"/>
    </row>
    <row r="221" spans="2:2" x14ac:dyDescent="0.35">
      <c r="B221" s="112"/>
    </row>
    <row r="222" spans="2:2" x14ac:dyDescent="0.35">
      <c r="B222" s="112"/>
    </row>
    <row r="223" spans="2:2" x14ac:dyDescent="0.35">
      <c r="B223" s="112"/>
    </row>
    <row r="224" spans="2:2" x14ac:dyDescent="0.35">
      <c r="B224" s="112"/>
    </row>
    <row r="225" spans="2:2" x14ac:dyDescent="0.35">
      <c r="B225" s="112"/>
    </row>
    <row r="226" spans="2:2" x14ac:dyDescent="0.35">
      <c r="B226" s="112"/>
    </row>
    <row r="227" spans="2:2" x14ac:dyDescent="0.35">
      <c r="B227" s="112"/>
    </row>
    <row r="228" spans="2:2" x14ac:dyDescent="0.35">
      <c r="B228" s="112"/>
    </row>
    <row r="229" spans="2:2" x14ac:dyDescent="0.35">
      <c r="B229" s="112"/>
    </row>
    <row r="230" spans="2:2" x14ac:dyDescent="0.35">
      <c r="B230" s="112"/>
    </row>
    <row r="231" spans="2:2" x14ac:dyDescent="0.35">
      <c r="B231" s="112"/>
    </row>
    <row r="232" spans="2:2" x14ac:dyDescent="0.35">
      <c r="B232" s="112"/>
    </row>
    <row r="233" spans="2:2" x14ac:dyDescent="0.35">
      <c r="B233" s="112"/>
    </row>
    <row r="234" spans="2:2" x14ac:dyDescent="0.35">
      <c r="B234" s="112"/>
    </row>
    <row r="235" spans="2:2" x14ac:dyDescent="0.35">
      <c r="B235" s="112"/>
    </row>
    <row r="236" spans="2:2" x14ac:dyDescent="0.35">
      <c r="B236" s="112"/>
    </row>
    <row r="237" spans="2:2" x14ac:dyDescent="0.35">
      <c r="B237" s="112"/>
    </row>
    <row r="238" spans="2:2" x14ac:dyDescent="0.35">
      <c r="B238" s="112"/>
    </row>
    <row r="239" spans="2:2" x14ac:dyDescent="0.35">
      <c r="B239" s="112"/>
    </row>
    <row r="240" spans="2:2" x14ac:dyDescent="0.35">
      <c r="B240" s="112"/>
    </row>
    <row r="241" spans="2:2" x14ac:dyDescent="0.35">
      <c r="B241" s="112"/>
    </row>
    <row r="242" spans="2:2" x14ac:dyDescent="0.35">
      <c r="B242" s="112"/>
    </row>
    <row r="243" spans="2:2" x14ac:dyDescent="0.35">
      <c r="B243" s="112"/>
    </row>
    <row r="244" spans="2:2" x14ac:dyDescent="0.35">
      <c r="B244" s="112"/>
    </row>
    <row r="245" spans="2:2" x14ac:dyDescent="0.35">
      <c r="B245" s="112"/>
    </row>
    <row r="246" spans="2:2" x14ac:dyDescent="0.35">
      <c r="B246" s="112"/>
    </row>
    <row r="247" spans="2:2" x14ac:dyDescent="0.35">
      <c r="B247" s="112"/>
    </row>
    <row r="248" spans="2:2" x14ac:dyDescent="0.35">
      <c r="B248" s="112"/>
    </row>
    <row r="249" spans="2:2" x14ac:dyDescent="0.35">
      <c r="B249" s="112"/>
    </row>
    <row r="250" spans="2:2" x14ac:dyDescent="0.35">
      <c r="B250" s="112"/>
    </row>
    <row r="251" spans="2:2" x14ac:dyDescent="0.35">
      <c r="B251" s="112"/>
    </row>
    <row r="252" spans="2:2" x14ac:dyDescent="0.35">
      <c r="B252" s="112"/>
    </row>
    <row r="253" spans="2:2" x14ac:dyDescent="0.35">
      <c r="B253" s="112"/>
    </row>
    <row r="254" spans="2:2" x14ac:dyDescent="0.35">
      <c r="B254" s="112"/>
    </row>
    <row r="255" spans="2:2" x14ac:dyDescent="0.35">
      <c r="B255" s="112"/>
    </row>
    <row r="256" spans="2:2" x14ac:dyDescent="0.35">
      <c r="B256" s="112"/>
    </row>
    <row r="257" spans="2:2" x14ac:dyDescent="0.35">
      <c r="B257" s="112"/>
    </row>
    <row r="258" spans="2:2" x14ac:dyDescent="0.35">
      <c r="B258" s="112"/>
    </row>
    <row r="259" spans="2:2" x14ac:dyDescent="0.35">
      <c r="B259" s="112"/>
    </row>
    <row r="260" spans="2:2" x14ac:dyDescent="0.35">
      <c r="B260" s="112"/>
    </row>
    <row r="261" spans="2:2" x14ac:dyDescent="0.35">
      <c r="B261" s="112"/>
    </row>
    <row r="262" spans="2:2" x14ac:dyDescent="0.35">
      <c r="B262" s="112"/>
    </row>
    <row r="263" spans="2:2" x14ac:dyDescent="0.35">
      <c r="B263" s="112"/>
    </row>
    <row r="264" spans="2:2" x14ac:dyDescent="0.35">
      <c r="B264" s="112"/>
    </row>
    <row r="265" spans="2:2" x14ac:dyDescent="0.35">
      <c r="B265" s="112"/>
    </row>
    <row r="266" spans="2:2" x14ac:dyDescent="0.35">
      <c r="B266" s="112"/>
    </row>
    <row r="267" spans="2:2" x14ac:dyDescent="0.35">
      <c r="B267" s="112"/>
    </row>
    <row r="268" spans="2:2" x14ac:dyDescent="0.35">
      <c r="B268" s="112"/>
    </row>
    <row r="269" spans="2:2" x14ac:dyDescent="0.35">
      <c r="B269" s="112"/>
    </row>
    <row r="270" spans="2:2" x14ac:dyDescent="0.35">
      <c r="B270" s="112"/>
    </row>
    <row r="271" spans="2:2" x14ac:dyDescent="0.35">
      <c r="B271" s="112"/>
    </row>
    <row r="272" spans="2:2" x14ac:dyDescent="0.35">
      <c r="B272" s="112"/>
    </row>
    <row r="273" spans="2:2" x14ac:dyDescent="0.35">
      <c r="B273" s="112"/>
    </row>
    <row r="274" spans="2:2" x14ac:dyDescent="0.35">
      <c r="B274" s="112"/>
    </row>
    <row r="275" spans="2:2" x14ac:dyDescent="0.35">
      <c r="B275" s="112"/>
    </row>
    <row r="276" spans="2:2" x14ac:dyDescent="0.35">
      <c r="B276" s="112"/>
    </row>
    <row r="277" spans="2:2" x14ac:dyDescent="0.35">
      <c r="B277" s="112"/>
    </row>
    <row r="278" spans="2:2" x14ac:dyDescent="0.35">
      <c r="B278" s="112"/>
    </row>
    <row r="279" spans="2:2" x14ac:dyDescent="0.35">
      <c r="B279" s="112"/>
    </row>
    <row r="280" spans="2:2" x14ac:dyDescent="0.35">
      <c r="B280" s="112"/>
    </row>
    <row r="281" spans="2:2" x14ac:dyDescent="0.35">
      <c r="B281" s="112"/>
    </row>
    <row r="282" spans="2:2" x14ac:dyDescent="0.35">
      <c r="B282" s="112"/>
    </row>
    <row r="283" spans="2:2" x14ac:dyDescent="0.35">
      <c r="B283" s="112"/>
    </row>
    <row r="284" spans="2:2" x14ac:dyDescent="0.35">
      <c r="B284" s="112"/>
    </row>
    <row r="285" spans="2:2" x14ac:dyDescent="0.35">
      <c r="B285" s="112"/>
    </row>
    <row r="286" spans="2:2" x14ac:dyDescent="0.35">
      <c r="B286" s="112"/>
    </row>
    <row r="287" spans="2:2" x14ac:dyDescent="0.35">
      <c r="B287" s="112"/>
    </row>
  </sheetData>
  <dataConsolidate/>
  <mergeCells count="284">
    <mergeCell ref="D19:G19"/>
    <mergeCell ref="H19:K19"/>
    <mergeCell ref="L19:O19"/>
    <mergeCell ref="P19:S19"/>
    <mergeCell ref="B20:B23"/>
    <mergeCell ref="C20:C23"/>
    <mergeCell ref="D25:G25"/>
    <mergeCell ref="H25:K25"/>
    <mergeCell ref="L25:O25"/>
    <mergeCell ref="P25:S25"/>
    <mergeCell ref="P32:P33"/>
    <mergeCell ref="Q32:Q33"/>
    <mergeCell ref="D35:D36"/>
    <mergeCell ref="E35:E36"/>
    <mergeCell ref="H35:H36"/>
    <mergeCell ref="I35:I36"/>
    <mergeCell ref="L35:L36"/>
    <mergeCell ref="M35:M36"/>
    <mergeCell ref="P35:P36"/>
    <mergeCell ref="Q35:Q36"/>
    <mergeCell ref="P47:S47"/>
    <mergeCell ref="R48:S48"/>
    <mergeCell ref="R49:S49"/>
    <mergeCell ref="F27:F28"/>
    <mergeCell ref="G27:G28"/>
    <mergeCell ref="J27:J28"/>
    <mergeCell ref="B26:B28"/>
    <mergeCell ref="C26:C28"/>
    <mergeCell ref="D26:E26"/>
    <mergeCell ref="H26:I26"/>
    <mergeCell ref="B29:B30"/>
    <mergeCell ref="C29:C30"/>
    <mergeCell ref="B31:B36"/>
    <mergeCell ref="C31:C36"/>
    <mergeCell ref="D32:D33"/>
    <mergeCell ref="E32:E33"/>
    <mergeCell ref="H32:H33"/>
    <mergeCell ref="L26:M26"/>
    <mergeCell ref="P26:Q26"/>
    <mergeCell ref="R27:R28"/>
    <mergeCell ref="S27:S28"/>
    <mergeCell ref="K27:K28"/>
    <mergeCell ref="N27:N28"/>
    <mergeCell ref="O27:O28"/>
    <mergeCell ref="P80:S80"/>
    <mergeCell ref="K74:K75"/>
    <mergeCell ref="L74:L75"/>
    <mergeCell ref="M74:M75"/>
    <mergeCell ref="N74:N75"/>
    <mergeCell ref="O74:O75"/>
    <mergeCell ref="P74:P75"/>
    <mergeCell ref="Q74:Q75"/>
    <mergeCell ref="R74:R75"/>
    <mergeCell ref="S74:S75"/>
    <mergeCell ref="N77:N78"/>
    <mergeCell ref="O77:O78"/>
    <mergeCell ref="P77:P78"/>
    <mergeCell ref="Q77:Q78"/>
    <mergeCell ref="R77:R78"/>
    <mergeCell ref="S77:S78"/>
    <mergeCell ref="C2:G2"/>
    <mergeCell ref="B6:G6"/>
    <mergeCell ref="B7:G7"/>
    <mergeCell ref="B8:G8"/>
    <mergeCell ref="C3:G3"/>
    <mergeCell ref="C87:C88"/>
    <mergeCell ref="D80:G80"/>
    <mergeCell ref="H80:K80"/>
    <mergeCell ref="L80:O80"/>
    <mergeCell ref="B65:B66"/>
    <mergeCell ref="C65:C66"/>
    <mergeCell ref="F56:G56"/>
    <mergeCell ref="J56:K56"/>
    <mergeCell ref="N56:O56"/>
    <mergeCell ref="F57:G57"/>
    <mergeCell ref="J57:K57"/>
    <mergeCell ref="D47:G47"/>
    <mergeCell ref="H47:K47"/>
    <mergeCell ref="L47:O47"/>
    <mergeCell ref="I32:I33"/>
    <mergeCell ref="L32:L33"/>
    <mergeCell ref="M32:M33"/>
    <mergeCell ref="D38:G38"/>
    <mergeCell ref="B10:C10"/>
    <mergeCell ref="L38:O38"/>
    <mergeCell ref="P38:S38"/>
    <mergeCell ref="B39:B41"/>
    <mergeCell ref="C39:C41"/>
    <mergeCell ref="D39:E39"/>
    <mergeCell ref="H39:I39"/>
    <mergeCell ref="L39:M39"/>
    <mergeCell ref="P39:Q39"/>
    <mergeCell ref="F40:F41"/>
    <mergeCell ref="G40:G41"/>
    <mergeCell ref="J40:J41"/>
    <mergeCell ref="K40:K41"/>
    <mergeCell ref="N40:N41"/>
    <mergeCell ref="O40:O41"/>
    <mergeCell ref="R40:R41"/>
    <mergeCell ref="S40:S41"/>
    <mergeCell ref="H38:K38"/>
    <mergeCell ref="B42:B45"/>
    <mergeCell ref="C42:C43"/>
    <mergeCell ref="F42:G42"/>
    <mergeCell ref="J42:K42"/>
    <mergeCell ref="N42:O42"/>
    <mergeCell ref="R42:S42"/>
    <mergeCell ref="F43:G43"/>
    <mergeCell ref="J43:K43"/>
    <mergeCell ref="N43:O43"/>
    <mergeCell ref="R43:S43"/>
    <mergeCell ref="C44:C45"/>
    <mergeCell ref="B48:B49"/>
    <mergeCell ref="C48:C49"/>
    <mergeCell ref="D48:E48"/>
    <mergeCell ref="F48:G48"/>
    <mergeCell ref="H48:I48"/>
    <mergeCell ref="J48:K48"/>
    <mergeCell ref="L48:M48"/>
    <mergeCell ref="N48:O48"/>
    <mergeCell ref="P48:Q48"/>
    <mergeCell ref="D49:E49"/>
    <mergeCell ref="F49:G49"/>
    <mergeCell ref="H49:I49"/>
    <mergeCell ref="J49:K49"/>
    <mergeCell ref="L49:M49"/>
    <mergeCell ref="N49:O49"/>
    <mergeCell ref="P49:Q49"/>
    <mergeCell ref="B50:B51"/>
    <mergeCell ref="C50:C51"/>
    <mergeCell ref="F50:G50"/>
    <mergeCell ref="J50:K50"/>
    <mergeCell ref="N50:O50"/>
    <mergeCell ref="R50:S50"/>
    <mergeCell ref="F51:G51"/>
    <mergeCell ref="J51:K51"/>
    <mergeCell ref="N51:O51"/>
    <mergeCell ref="R51:S51"/>
    <mergeCell ref="D53:G53"/>
    <mergeCell ref="H53:K53"/>
    <mergeCell ref="L53:O53"/>
    <mergeCell ref="P53:S53"/>
    <mergeCell ref="B54:B58"/>
    <mergeCell ref="C54:C55"/>
    <mergeCell ref="F54:G54"/>
    <mergeCell ref="J54:K54"/>
    <mergeCell ref="N54:O54"/>
    <mergeCell ref="R54:S54"/>
    <mergeCell ref="F55:G55"/>
    <mergeCell ref="J55:K55"/>
    <mergeCell ref="N55:O55"/>
    <mergeCell ref="R55:S55"/>
    <mergeCell ref="C56:C58"/>
    <mergeCell ref="F58:G58"/>
    <mergeCell ref="J58:K58"/>
    <mergeCell ref="N58:O58"/>
    <mergeCell ref="R58:S58"/>
    <mergeCell ref="R56:S56"/>
    <mergeCell ref="R57:S57"/>
    <mergeCell ref="N57:O57"/>
    <mergeCell ref="E59:F59"/>
    <mergeCell ref="I59:J59"/>
    <mergeCell ref="M59:N59"/>
    <mergeCell ref="Q59:R59"/>
    <mergeCell ref="E60:F60"/>
    <mergeCell ref="I60:J60"/>
    <mergeCell ref="M60:N60"/>
    <mergeCell ref="Q60:R60"/>
    <mergeCell ref="E61:F61"/>
    <mergeCell ref="I61:J61"/>
    <mergeCell ref="M61:N61"/>
    <mergeCell ref="Q61:R61"/>
    <mergeCell ref="D64:G64"/>
    <mergeCell ref="H64:K64"/>
    <mergeCell ref="L64:O64"/>
    <mergeCell ref="P64:S64"/>
    <mergeCell ref="D65:E65"/>
    <mergeCell ref="H65:I65"/>
    <mergeCell ref="L65:M65"/>
    <mergeCell ref="P65:Q65"/>
    <mergeCell ref="D66:E66"/>
    <mergeCell ref="B67:B78"/>
    <mergeCell ref="C67:C78"/>
    <mergeCell ref="D68:D69"/>
    <mergeCell ref="E68:E69"/>
    <mergeCell ref="F68:F69"/>
    <mergeCell ref="G68:G69"/>
    <mergeCell ref="H68:H69"/>
    <mergeCell ref="I68:I69"/>
    <mergeCell ref="J68:J69"/>
    <mergeCell ref="D71:D72"/>
    <mergeCell ref="E71:E72"/>
    <mergeCell ref="F71:F72"/>
    <mergeCell ref="G71:G72"/>
    <mergeCell ref="H71:H72"/>
    <mergeCell ref="I71:I72"/>
    <mergeCell ref="J71:J72"/>
    <mergeCell ref="D74:D75"/>
    <mergeCell ref="E74:E75"/>
    <mergeCell ref="F74:F75"/>
    <mergeCell ref="G74:G75"/>
    <mergeCell ref="H74:H75"/>
    <mergeCell ref="I74:I75"/>
    <mergeCell ref="J74:J75"/>
    <mergeCell ref="D77:D78"/>
    <mergeCell ref="K68:K69"/>
    <mergeCell ref="L68:L69"/>
    <mergeCell ref="M68:M69"/>
    <mergeCell ref="N68:N69"/>
    <mergeCell ref="O68:O69"/>
    <mergeCell ref="P68:P69"/>
    <mergeCell ref="Q68:Q69"/>
    <mergeCell ref="R68:R69"/>
    <mergeCell ref="S68:S69"/>
    <mergeCell ref="K71:K72"/>
    <mergeCell ref="L71:L72"/>
    <mergeCell ref="M71:M72"/>
    <mergeCell ref="N71:N72"/>
    <mergeCell ref="O71:O72"/>
    <mergeCell ref="P71:P72"/>
    <mergeCell ref="Q71:Q72"/>
    <mergeCell ref="R71:R72"/>
    <mergeCell ref="S71:S72"/>
    <mergeCell ref="E77:E78"/>
    <mergeCell ref="F77:F78"/>
    <mergeCell ref="G77:G78"/>
    <mergeCell ref="H77:H78"/>
    <mergeCell ref="I77:I78"/>
    <mergeCell ref="J77:J78"/>
    <mergeCell ref="K77:K78"/>
    <mergeCell ref="L77:L78"/>
    <mergeCell ref="M77:M78"/>
    <mergeCell ref="B81:B84"/>
    <mergeCell ref="C81:C82"/>
    <mergeCell ref="F81:G81"/>
    <mergeCell ref="J81:K81"/>
    <mergeCell ref="N81:O81"/>
    <mergeCell ref="R81:S81"/>
    <mergeCell ref="F82:G82"/>
    <mergeCell ref="J82:K82"/>
    <mergeCell ref="N82:O82"/>
    <mergeCell ref="R82:S82"/>
    <mergeCell ref="C83:C84"/>
    <mergeCell ref="H91:K91"/>
    <mergeCell ref="L91:O91"/>
    <mergeCell ref="P91:S91"/>
    <mergeCell ref="D92:G92"/>
    <mergeCell ref="H92:K92"/>
    <mergeCell ref="L92:O92"/>
    <mergeCell ref="P92:S92"/>
    <mergeCell ref="B85:B88"/>
    <mergeCell ref="C85:C86"/>
    <mergeCell ref="E87:F87"/>
    <mergeCell ref="I87:J87"/>
    <mergeCell ref="M87:N87"/>
    <mergeCell ref="R87:S87"/>
    <mergeCell ref="E88:F88"/>
    <mergeCell ref="I88:J88"/>
    <mergeCell ref="M88:N88"/>
    <mergeCell ref="R88:S88"/>
    <mergeCell ref="E62:F62"/>
    <mergeCell ref="I62:J62"/>
    <mergeCell ref="M62:N62"/>
    <mergeCell ref="Q62:R62"/>
    <mergeCell ref="B59:B62"/>
    <mergeCell ref="C59:C62"/>
    <mergeCell ref="B93:B96"/>
    <mergeCell ref="C93:C94"/>
    <mergeCell ref="C95:C96"/>
    <mergeCell ref="E95:F95"/>
    <mergeCell ref="I95:J95"/>
    <mergeCell ref="M95:N95"/>
    <mergeCell ref="Q95:R95"/>
    <mergeCell ref="E96:F96"/>
    <mergeCell ref="I96:J96"/>
    <mergeCell ref="M96:N96"/>
    <mergeCell ref="Q96:R96"/>
    <mergeCell ref="D90:G90"/>
    <mergeCell ref="H90:K90"/>
    <mergeCell ref="L90:O90"/>
    <mergeCell ref="P90:S90"/>
    <mergeCell ref="B91:B92"/>
    <mergeCell ref="C91:C92"/>
    <mergeCell ref="D91:G91"/>
  </mergeCells>
  <conditionalFormatting sqref="E103">
    <cfRule type="iconSet" priority="1">
      <iconSet iconSet="4ArrowsGray">
        <cfvo type="percent" val="0"/>
        <cfvo type="percent" val="25"/>
        <cfvo type="percent" val="50"/>
        <cfvo type="percent" val="75"/>
      </iconSet>
    </cfRule>
  </conditionalFormatting>
  <dataValidations xWindow="633" yWindow="580" count="66">
    <dataValidation type="whole" allowBlank="1" showInputMessage="1" showErrorMessage="1" error="Please enter a number here" prompt="Please enter a number" sqref="D60:D62 H60:H62 L60:L62 P60:P62">
      <formula1>0</formula1>
      <formula2>9999999999999990</formula2>
    </dataValidation>
    <dataValidation type="list" allowBlank="1" showInputMessage="1" showErrorMessage="1" sqref="F60:F61 N60:N61 J60:J61 E60:E62 I60:I62 M60:M62 Q60:Q62 R60:R61">
      <formula1>ss</formula1>
    </dataValidation>
    <dataValidation type="list" allowBlank="1" showInputMessage="1" showErrorMessage="1" prompt="Select targeted asset" sqref="M57:M58 Q57:Q58 I57:I58 E57:E58">
      <formula1>$J$132:$J$133</formula1>
    </dataValidation>
    <dataValidation type="list" allowBlank="1" showInputMessage="1" showErrorMessage="1" prompt="Select changes in asset" sqref="J57:K58 F58:G58 N58:O58 R57:S58">
      <formula1>$I$122:$I$126</formula1>
    </dataValidation>
    <dataValidation type="list" allowBlank="1" showInputMessage="1" showErrorMessage="1" prompt="Select type of policy" sqref="G94">
      <formula1>$H$131:$H$152</formula1>
    </dataValidation>
    <dataValidation type="list" allowBlank="1" showInputMessage="1" showErrorMessage="1" prompt="Select type of assets" sqref="I86 E86 Q86 M86">
      <formula1>$L$107:$L$113</formula1>
    </dataValidation>
    <dataValidation type="whole" allowBlank="1" showInputMessage="1" showErrorMessage="1" error="Please enter a number here" prompt="Enter No. of development strategies" sqref="D96 L96 H96 P96">
      <formula1>0</formula1>
      <formula2>999999999</formula2>
    </dataValidation>
    <dataValidation type="whole" allowBlank="1" showInputMessage="1" showErrorMessage="1" error="Please enter a number" prompt="Enter No. of policy introduced or adjusted" sqref="L94 D94 H94 P94">
      <formula1>0</formula1>
      <formula2>999999999999</formula2>
    </dataValidation>
    <dataValidation type="decimal" allowBlank="1" showInputMessage="1" showErrorMessage="1" error="Please enter a number" prompt="Enter income level of households" sqref="O88 K88 G88">
      <formula1>0</formula1>
      <formula2>9999999999999</formula2>
    </dataValidation>
    <dataValidation type="whole" allowBlank="1" showInputMessage="1" showErrorMessage="1" prompt="Enter number of households" sqref="P88 L88 H88 D88">
      <formula1>0</formula1>
      <formula2>999999999999</formula2>
    </dataValidation>
    <dataValidation type="whole" allowBlank="1" showInputMessage="1" showErrorMessage="1" prompt="Enter number of assets" sqref="H86 L86 P86 D86">
      <formula1>0</formula1>
      <formula2>9999999999999</formula2>
    </dataValidation>
    <dataValidation type="whole" allowBlank="1" showInputMessage="1" showErrorMessage="1" error="Please enter a number here" prompt="Please enter the No. of targeted households" sqref="P84 L84 H84 D84 P82 L82 H82 D82">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Q77:Q78 Q74:Q75 M71:M72 M68:M69 E68:E69 M74:M75 M77:M78 I77:I78 I74:I75 I71:I72 Q68:Q69 I68:I69 E77:E78 E74:E75 E71:E72 Q71:Q72">
      <formula1>0</formula1>
    </dataValidation>
    <dataValidation type="decimal" allowBlank="1" showInputMessage="1" showErrorMessage="1" errorTitle="Invalid data" error="Please enter a number" prompt="Please enter a number here" sqref="P51 L51 H51 D51 E40 I40">
      <formula1>0</formula1>
      <formula2>9999999999</formula2>
    </dataValidation>
    <dataValidation type="decimal" allowBlank="1" showInputMessage="1" showErrorMessage="1" errorTitle="Invalid data" error="Please enter a number" prompt="Enter total number of staff trained" sqref="D43 H43">
      <formula1>0</formula1>
      <formula2>9999999999</formula2>
    </dataValidation>
    <dataValidation type="decimal" allowBlank="1" showInputMessage="1" showErrorMessage="1" errorTitle="Invalid data" error="Please enter a number" sqref="M40 L43 P43 Q40">
      <formula1>0</formula1>
      <formula2>9999999999</formula2>
    </dataValidation>
    <dataValidation type="decimal" allowBlank="1" showInputMessage="1" showErrorMessage="1" errorTitle="Invalid data" error="Please enter a number" prompt="Enter the number of municipalities covered by the Early Warning System" sqref="S36 S33 O36 O33 K36 K33 G36 G33">
      <formula1>0</formula1>
      <formula2>9999999</formula2>
    </dataValidation>
    <dataValidation type="list" allowBlank="1" showInputMessage="1" showErrorMessage="1" error="Select from the drop-down list" prompt="Select the geographical coverage of the Early Warning System" sqref="G32 S35 S32 O35 O32 K35 K32 G35">
      <formula1>$D$118:$D$120</formula1>
    </dataValidation>
    <dataValidation type="decimal" allowBlank="1" showInputMessage="1" showErrorMessage="1" errorTitle="Invalid data" error="Please enter a number here" prompt="Enter the number of adopted Early Warning Systems" sqref="D32:D33 H32:H33 L32:L33 P32:P33 D35:D36 H35:H36 L35:L36 P35:P36">
      <formula1>0</formula1>
      <formula2>9999999999</formula2>
    </dataValidation>
    <dataValidation type="list" allowBlank="1" showInputMessage="1" showErrorMessage="1" prompt="Select income source" sqref="E88:F88 R88 M88 I88">
      <formula1>$K$106:$K$120</formula1>
    </dataValidation>
    <dataValidation type="list" allowBlank="1" showInputMessage="1" showErrorMessage="1" prompt="Please select the alternate source" sqref="S84 O84 K84 G84">
      <formula1>$K$106:$K$120</formula1>
    </dataValidation>
    <dataValidation type="list" allowBlank="1" showInputMessage="1" showErrorMessage="1" prompt="Select % increase in income level" sqref="R84 N84 J84 F84">
      <formula1>$E$135:$E$143</formula1>
    </dataValidation>
    <dataValidation type="list" allowBlank="1" showInputMessage="1" showErrorMessage="1" prompt="Select type of natural assets protected or rehabilitated" sqref="L68:L69 P71:P72 D71:D72 D74:D75 D77:D78 H68:H69 H71:H72 H74:H75 H77:H78 P68:P69 L74:L75 L77:L78 L71:L72 P74:P75 P77:P78 D68:D69">
      <formula1>$C$133:$C$140</formula1>
    </dataValidation>
    <dataValidation type="list" allowBlank="1" showInputMessage="1" showErrorMessage="1" prompt="Enter the unit and type of the natural asset of ecosystem restored" sqref="J68:J69 R71:R72 N71:N72 N68:N69 J71:J72 J74:J75 J77:J78 R68:R69 N74:N75 N77:N78 F77:F78 F74:F75 F71:F72 F68:F69">
      <formula1>$C$127:$C$130</formula1>
    </dataValidation>
    <dataValidation type="list" allowBlank="1" showInputMessage="1" showErrorMessage="1" error="Select from the drop-down list" prompt="Select category of early warning systems_x000a__x000a_" sqref="M32:M33 Q35:Q36 Q32:Q33 E35:E36 I35:I36 M35:M36 E32:E33 I32:I33">
      <formula1>$D$130:$D$133</formula1>
    </dataValidation>
    <dataValidation type="list" allowBlank="1" showInputMessage="1" showErrorMessage="1" prompt="Select status" sqref="S30 O30 K30 G30">
      <formula1>$E$130:$E$132</formula1>
    </dataValidation>
    <dataValidation type="list" allowBlank="1" showInputMessage="1" showErrorMessage="1" sqref="E109:E110">
      <formula1>$D$16:$D$18</formula1>
    </dataValidation>
    <dataValidation type="list" allowBlank="1" showInputMessage="1" showErrorMessage="1" prompt="Select effectiveness" sqref="K96 S96 G96 O96">
      <formula1>$K$122:$K$126</formula1>
    </dataValidation>
    <dataValidation type="list" allowBlank="1" showInputMessage="1" showErrorMessage="1" prompt="Select a sector" sqref="J49:K49 F49:G49 R49:S49 N49:O49">
      <formula1>$J$113:$J$121</formula1>
    </dataValidation>
    <dataValidation type="decimal" allowBlank="1" showInputMessage="1" showErrorMessage="1" errorTitle="Invalid data" error="Please enter a number between 0 and 9999999" prompt="Enter a number here" sqref="Q27 M21:O21 Q21:S21 E27 I27 M27 E21:G21 I21:K21">
      <formula1>0</formula1>
      <formula2>99999999999</formula2>
    </dataValidation>
    <dataValidation type="decimal" allowBlank="1" showInputMessage="1" showErrorMessage="1" errorTitle="Invalid data" error="Enter a percentage between 0 and 100" prompt="Enter a percentage (between 0 and 100)" sqref="R22:S23 F22:G23 J22:K23 M22:O23">
      <formula1>0</formula1>
      <formula2>100</formula2>
    </dataValidation>
    <dataValidation type="decimal" allowBlank="1" showInputMessage="1" showErrorMessage="1" errorTitle="Invalid data" error="Please enter a number between 0 and 100" prompt="Enter a percentage between 0 and 100" sqref="P49:Q49 L49:M49 H49:I49 Q84 M84 I84 E84 D49:E49 Q41 I82 M82 Q82 Q51 M51 I51 Q43 E43 I43 Q28 M43 M41 E82 E41 I41 E28 I28 M28 Q22:Q23 E51 E22:E23 I22:I23">
      <formula1>0</formula1>
      <formula2>100</formula2>
    </dataValidation>
    <dataValidation type="list" allowBlank="1" showInputMessage="1" showErrorMessage="1" prompt="Select type of policy" sqref="O94 K94 S94">
      <formula1>policy</formula1>
    </dataValidation>
    <dataValidation type="list" allowBlank="1" showInputMessage="1" showErrorMessage="1" prompt="Select income source" sqref="Q88">
      <formula1>incomesource</formula1>
    </dataValidation>
    <dataValidation type="list" allowBlank="1" showInputMessage="1" showErrorMessage="1" prompt="Select the effectiveness of protection/rehabilitation" sqref="S77 S74">
      <formula1>effectiveness</formula1>
    </dataValidation>
    <dataValidation type="list" allowBlank="1" showInputMessage="1" showErrorMessage="1" prompt="Select programme/sector" sqref="J66 F66 R66 N66">
      <formula1>$J$113:$J$121</formula1>
    </dataValidation>
    <dataValidation type="list" allowBlank="1" showInputMessage="1" showErrorMessage="1" prompt="Select level of improvements" sqref="Q66 M66 I66">
      <formula1>effectiveness</formula1>
    </dataValidation>
    <dataValidation type="list" allowBlank="1" showInputMessage="1" showErrorMessage="1" prompt="Select response level" sqref="J55 F55 R55 N55">
      <formula1>$H$122:$H$126</formula1>
    </dataValidation>
    <dataValidation type="list" allowBlank="1" showInputMessage="1" showErrorMessage="1" prompt="Select geographical scale" sqref="I55 E55 Q55 M55">
      <formula1>$D$118:$D$120</formula1>
    </dataValidation>
    <dataValidation type="list" allowBlank="1" showInputMessage="1" showErrorMessage="1" prompt="Select project/programme sector" sqref="H55 D55 Q30 M30 I30 E30 P55 L55">
      <formula1>$J$113:$J$121</formula1>
    </dataValidation>
    <dataValidation type="list" allowBlank="1" showInputMessage="1" showErrorMessage="1" prompt="Select level of awarness" sqref="J51:K51 F51:G51 R51:S51 N51:O51">
      <formula1>$G$122:$G$126</formula1>
    </dataValidation>
    <dataValidation type="list" allowBlank="1" showInputMessage="1" showErrorMessage="1" prompt="Select scale" sqref="O45 G45 S45 K45">
      <formula1>$F$122:$F$125</formula1>
    </dataValidation>
    <dataValidation type="list" allowBlank="1" showInputMessage="1" showErrorMessage="1" prompt="Select scale" sqref="J94 R94 Q45 M45 I45 E45 R30 N30 J30 F30 N94 F94">
      <formula1>$D$118:$D$120</formula1>
    </dataValidation>
    <dataValidation type="list" allowBlank="1" showInputMessage="1" showErrorMessage="1" prompt="Select capacity level" sqref="O40 G40 S40 K40">
      <formula1>$F$122:$F$125</formula1>
    </dataValidation>
    <dataValidation type="list" allowBlank="1" showInputMessage="1" showErrorMessage="1" prompt="Select sector" sqref="F45 L57:L58 K60:K62 R40 R86 N86 J86 F86 R45 E94 Q94 O60:O62 M94 P57:P58 F40 H57:H58 G60:G62 D57:D58 J45 N45 I94 J40 N40 S60:S62">
      <formula1>$J$113:$J$121</formula1>
    </dataValidation>
    <dataValidation type="list" allowBlank="1" showInputMessage="1" showErrorMessage="1" sqref="Q93 S93 K85 M59 O59 S85 G93 F85 O93 E93 S59 Q59 M93 K93 G59 I59 K59 O85 I93">
      <formula1>group</formula1>
    </dataValidation>
    <dataValidation type="list" allowBlank="1" showInputMessage="1" showErrorMessage="1" sqref="B52">
      <formula1>selectyn</formula1>
    </dataValidation>
    <dataValidation type="list" allowBlank="1" showInputMessage="1" showErrorMessage="1" error="Select from the drop-down list" prompt="Select type of hazards information generated from the drop-down list_x000a_" sqref="J27:J28 F27:F28 R27:R28 N27:N28">
      <formula1>$D$102:$D$109</formula1>
    </dataValidation>
    <dataValidation type="whole" allowBlank="1" showInputMessage="1" showErrorMessage="1" errorTitle="Please enter a number here" error="Please enter a number here" promptTitle="Please enter a number here" sqref="P30 L30 H30 D30">
      <formula1>0</formula1>
      <formula2>99999</formula2>
    </dataValidation>
    <dataValidation type="list" allowBlank="1" showInputMessage="1" showErrorMessage="1" errorTitle="Select from the list" error="Select from the list" prompt="Select hazard addressed by the Early Warning System" sqref="S34 S31 G31 G34 K34 K31 O31 O34">
      <formula1>$D$102:$D$109</formula1>
    </dataValidation>
    <dataValidation type="list" allowBlank="1" showInputMessage="1" showErrorMessage="1" prompt="Select type" sqref="J43:K43 F43:G43 P45 L45 H45 D45 R43:S43 N43:O43">
      <formula1>$D$114:$D$116</formula1>
    </dataValidation>
    <dataValidation type="list" allowBlank="1" showInputMessage="1" showErrorMessage="1" prompt="Select level of improvements" sqref="H66 D66:E66 P66 L66">
      <formula1>$K$122:$K$126</formula1>
    </dataValidation>
    <dataValidation type="list" allowBlank="1" showInputMessage="1" showErrorMessage="1" prompt="Select type" sqref="K66 G66 O66 S66">
      <formula1>$F$103:$F$107</formula1>
    </dataValidation>
    <dataValidation type="list" allowBlank="1" showInputMessage="1" showErrorMessage="1" error="Please select a level of effectiveness from the drop-down list" prompt="Select the level of effectiveness of protection/rehabilitation" sqref="G71:G72 S71:S72 O68:O69 O71:O72 R74:R75 R77:R78 O77:O78 O74:O75 S68:S69 G68:G69 K68:K69 K71:K72 K74:K75 K77:K78 G77:G78 G74:G75">
      <formula1>$K$122:$K$126</formula1>
    </dataValidation>
    <dataValidation type="list" allowBlank="1" showInputMessage="1" showErrorMessage="1" error="Please select improvement level from the drop-down list" prompt="Select improvement level" sqref="J82:K82 F82:G82 R82:S82 N82:O82">
      <formula1>$H$117:$H$121</formula1>
    </dataValidation>
    <dataValidation type="list" allowBlank="1" showInputMessage="1" showErrorMessage="1" prompt="Select adaptation strategy" sqref="K86 G86 S86 O86">
      <formula1>$I$128:$I$144</formula1>
    </dataValidation>
    <dataValidation type="list" allowBlank="1" showInputMessage="1" showErrorMessage="1" prompt="Select integration level" sqref="D92:S92">
      <formula1>$H$110:$H$114</formula1>
    </dataValidation>
    <dataValidation type="list" allowBlank="1" showInputMessage="1" showErrorMessage="1" prompt="Select state of enforcement" sqref="I96:J96 Q96:R96 E96:F96 M96:N96">
      <formula1>$I$103:$I$107</formula1>
    </dataValidation>
    <dataValidation type="list" allowBlank="1" showInputMessage="1" showErrorMessage="1" error="Please select the from the drop-down list_x000a_" prompt="Please select from the drop-down list" sqref="C17">
      <formula1>$J$114:$J$121</formula1>
    </dataValidation>
    <dataValidation type="list" allowBlank="1" showInputMessage="1" showErrorMessage="1" error="Please select from the drop-down list" prompt="Please select from the drop-down list" sqref="C14">
      <formula1>$C$123:$C$125</formula1>
    </dataValidation>
    <dataValidation type="list" allowBlank="1" showInputMessage="1" showErrorMessage="1" error="Select from the drop-down list" prompt="Select from the drop-down list" sqref="C16">
      <formula1>$B$123:$B$126</formula1>
    </dataValidation>
    <dataValidation type="list" allowBlank="1" showInputMessage="1" showErrorMessage="1" error="Select from the drop-down list" prompt="Select from the drop-down list" sqref="C15">
      <formula1>$B$129:$B$287</formula1>
    </dataValidation>
    <dataValidation allowBlank="1" showInputMessage="1" showErrorMessage="1" prompt="Please enter your project ID" sqref="C12"/>
    <dataValidation allowBlank="1" showInputMessage="1" showErrorMessage="1" prompt="Enter the name of the Implementing Entity_x000a_" sqref="C13"/>
    <dataValidation type="list" allowBlank="1" showInputMessage="1" showErrorMessage="1" error="Select from the drop-down list._x000a_" prompt="Select overall effectiveness" sqref="S27:S28 G27:G28 K27:K28 O27:O28">
      <formula1>$K$122:$K$126</formula1>
    </dataValidation>
    <dataValidation type="list" allowBlank="1" showInputMessage="1" showErrorMessage="1" prompt="Select changes in asset" sqref="N57:O57 F57:G57">
      <formula1>$I$162:$I$166</formula1>
    </dataValidation>
  </dataValidations>
  <pageMargins left="0.7" right="0.7" top="0.75" bottom="0.75" header="0.3" footer="0.3"/>
  <pageSetup paperSize="8" scale="36" fitToHeight="0"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B1:B4"/>
  <sheetViews>
    <sheetView workbookViewId="0">
      <selection activeCell="B1" sqref="B1"/>
    </sheetView>
  </sheetViews>
  <sheetFormatPr defaultColWidth="9.08984375" defaultRowHeight="14" x14ac:dyDescent="0.3"/>
  <cols>
    <col min="1" max="1" width="2.453125" style="13" customWidth="1"/>
    <col min="2" max="2" width="109.36328125" style="13" customWidth="1"/>
    <col min="3" max="3" width="2.453125" style="13" customWidth="1"/>
    <col min="4" max="16384" width="9.08984375" style="13"/>
  </cols>
  <sheetData>
    <row r="1" spans="2:2" ht="14.5" thickBot="1" x14ac:dyDescent="0.35">
      <c r="B1" s="200" t="s">
        <v>816</v>
      </c>
    </row>
    <row r="2" spans="2:2" ht="308.5" thickBot="1" x14ac:dyDescent="0.35">
      <c r="B2" s="344" t="s">
        <v>1063</v>
      </c>
    </row>
    <row r="3" spans="2:2" ht="14.5" thickBot="1" x14ac:dyDescent="0.35">
      <c r="B3" s="200" t="s">
        <v>817</v>
      </c>
    </row>
    <row r="4" spans="2:2" ht="266.5" thickBot="1" x14ac:dyDescent="0.35">
      <c r="B4" s="164" t="s">
        <v>818</v>
      </c>
    </row>
  </sheetData>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sheetPr>
  <dimension ref="B1:K54"/>
  <sheetViews>
    <sheetView workbookViewId="0">
      <selection activeCell="C1" sqref="C1"/>
    </sheetView>
  </sheetViews>
  <sheetFormatPr defaultColWidth="9.08984375" defaultRowHeight="14" x14ac:dyDescent="0.3"/>
  <cols>
    <col min="1" max="1" width="1.36328125" style="13" customWidth="1"/>
    <col min="2" max="2" width="2.453125" style="13" customWidth="1"/>
    <col min="3" max="3" width="47.453125" style="13" customWidth="1"/>
    <col min="4" max="4" width="21.36328125" style="13" customWidth="1"/>
    <col min="5" max="5" width="1.6328125" style="13" customWidth="1"/>
    <col min="6" max="6" width="1.36328125" style="13" customWidth="1"/>
    <col min="7" max="16384" width="9.08984375" style="13"/>
  </cols>
  <sheetData>
    <row r="1" spans="2:5" ht="14.5" thickBot="1" x14ac:dyDescent="0.35"/>
    <row r="2" spans="2:5" ht="14.5" thickBot="1" x14ac:dyDescent="0.35">
      <c r="B2" s="165"/>
      <c r="C2" s="166"/>
      <c r="D2" s="166"/>
      <c r="E2" s="167"/>
    </row>
    <row r="3" spans="2:5" ht="14.5" thickBot="1" x14ac:dyDescent="0.35">
      <c r="B3" s="168"/>
      <c r="C3" s="1401" t="s">
        <v>819</v>
      </c>
      <c r="D3" s="1401"/>
      <c r="E3" s="201"/>
    </row>
    <row r="4" spans="2:5" x14ac:dyDescent="0.3">
      <c r="B4" s="1402"/>
      <c r="C4" s="1402"/>
      <c r="D4" s="1402"/>
      <c r="E4" s="201"/>
    </row>
    <row r="5" spans="2:5" x14ac:dyDescent="0.3">
      <c r="B5" s="202"/>
      <c r="C5" s="1403"/>
      <c r="D5" s="1403"/>
      <c r="E5" s="201"/>
    </row>
    <row r="6" spans="2:5" x14ac:dyDescent="0.3">
      <c r="B6" s="202"/>
      <c r="C6" s="203"/>
      <c r="D6" s="204"/>
      <c r="E6" s="201"/>
    </row>
    <row r="7" spans="2:5" ht="35.25" customHeight="1" x14ac:dyDescent="0.3">
      <c r="B7" s="202"/>
      <c r="C7" s="1404" t="s">
        <v>69</v>
      </c>
      <c r="D7" s="1404"/>
      <c r="E7" s="201"/>
    </row>
    <row r="8" spans="2:5" ht="14.5" thickBot="1" x14ac:dyDescent="0.35">
      <c r="B8" s="202"/>
      <c r="C8" s="1405"/>
      <c r="D8" s="1405"/>
      <c r="E8" s="201"/>
    </row>
    <row r="9" spans="2:5" x14ac:dyDescent="0.3">
      <c r="B9" s="202"/>
      <c r="C9" s="896" t="s">
        <v>820</v>
      </c>
      <c r="D9" s="897" t="s">
        <v>821</v>
      </c>
      <c r="E9" s="201"/>
    </row>
    <row r="10" spans="2:5" x14ac:dyDescent="0.3">
      <c r="B10" s="202"/>
      <c r="C10" s="898" t="s">
        <v>822</v>
      </c>
      <c r="D10" s="899" t="s">
        <v>823</v>
      </c>
      <c r="E10" s="201"/>
    </row>
    <row r="11" spans="2:5" x14ac:dyDescent="0.3">
      <c r="B11" s="202"/>
      <c r="C11" s="898" t="s">
        <v>824</v>
      </c>
      <c r="D11" s="899" t="s">
        <v>825</v>
      </c>
      <c r="E11" s="201"/>
    </row>
    <row r="12" spans="2:5" x14ac:dyDescent="0.3">
      <c r="B12" s="202"/>
      <c r="C12" s="898" t="s">
        <v>826</v>
      </c>
      <c r="D12" s="899" t="s">
        <v>827</v>
      </c>
      <c r="E12" s="201"/>
    </row>
    <row r="13" spans="2:5" x14ac:dyDescent="0.3">
      <c r="B13" s="202"/>
      <c r="C13" s="898" t="s">
        <v>828</v>
      </c>
      <c r="D13" s="899" t="s">
        <v>829</v>
      </c>
      <c r="E13" s="201"/>
    </row>
    <row r="14" spans="2:5" x14ac:dyDescent="0.3">
      <c r="B14" s="202"/>
      <c r="C14" s="898" t="s">
        <v>830</v>
      </c>
      <c r="D14" s="899" t="s">
        <v>829</v>
      </c>
      <c r="E14" s="201"/>
    </row>
    <row r="15" spans="2:5" x14ac:dyDescent="0.3">
      <c r="B15" s="202"/>
      <c r="C15" s="898" t="s">
        <v>831</v>
      </c>
      <c r="D15" s="899" t="s">
        <v>832</v>
      </c>
      <c r="E15" s="201"/>
    </row>
    <row r="16" spans="2:5" ht="28" x14ac:dyDescent="0.3">
      <c r="B16" s="202"/>
      <c r="C16" s="898" t="s">
        <v>833</v>
      </c>
      <c r="D16" s="899" t="s">
        <v>834</v>
      </c>
      <c r="E16" s="201"/>
    </row>
    <row r="17" spans="2:5" ht="28" x14ac:dyDescent="0.3">
      <c r="B17" s="202"/>
      <c r="C17" s="898" t="s">
        <v>835</v>
      </c>
      <c r="D17" s="900" t="s">
        <v>836</v>
      </c>
      <c r="E17" s="201"/>
    </row>
    <row r="18" spans="2:5" ht="56" x14ac:dyDescent="0.3">
      <c r="B18" s="202"/>
      <c r="C18" s="898" t="s">
        <v>837</v>
      </c>
      <c r="D18" s="901" t="s">
        <v>838</v>
      </c>
      <c r="E18" s="201"/>
    </row>
    <row r="19" spans="2:5" ht="28" x14ac:dyDescent="0.3">
      <c r="B19" s="202"/>
      <c r="C19" s="898" t="s">
        <v>839</v>
      </c>
      <c r="D19" s="901" t="s">
        <v>840</v>
      </c>
      <c r="E19" s="201"/>
    </row>
    <row r="20" spans="2:5" ht="28" x14ac:dyDescent="0.3">
      <c r="B20" s="202"/>
      <c r="C20" s="898" t="s">
        <v>841</v>
      </c>
      <c r="D20" s="900" t="s">
        <v>842</v>
      </c>
      <c r="E20" s="201"/>
    </row>
    <row r="21" spans="2:5" x14ac:dyDescent="0.3">
      <c r="B21" s="202"/>
      <c r="C21" s="898" t="s">
        <v>843</v>
      </c>
      <c r="D21" s="901" t="s">
        <v>842</v>
      </c>
      <c r="E21" s="201"/>
    </row>
    <row r="22" spans="2:5" x14ac:dyDescent="0.3">
      <c r="B22" s="202"/>
      <c r="C22" s="902" t="s">
        <v>844</v>
      </c>
      <c r="D22" s="903" t="s">
        <v>845</v>
      </c>
      <c r="E22" s="201"/>
    </row>
    <row r="23" spans="2:5" x14ac:dyDescent="0.3">
      <c r="B23" s="202"/>
      <c r="C23" s="902" t="s">
        <v>846</v>
      </c>
      <c r="D23" s="903" t="s">
        <v>845</v>
      </c>
      <c r="E23" s="201"/>
    </row>
    <row r="24" spans="2:5" ht="28" x14ac:dyDescent="0.3">
      <c r="B24" s="202"/>
      <c r="C24" s="898" t="s">
        <v>847</v>
      </c>
      <c r="D24" s="903" t="s">
        <v>845</v>
      </c>
      <c r="E24" s="201"/>
    </row>
    <row r="25" spans="2:5" ht="28" x14ac:dyDescent="0.3">
      <c r="B25" s="202"/>
      <c r="C25" s="898" t="s">
        <v>848</v>
      </c>
      <c r="D25" s="899" t="s">
        <v>849</v>
      </c>
      <c r="E25" s="201"/>
    </row>
    <row r="26" spans="2:5" ht="28" x14ac:dyDescent="0.3">
      <c r="B26" s="202"/>
      <c r="C26" s="904" t="s">
        <v>850</v>
      </c>
      <c r="D26" s="905" t="s">
        <v>851</v>
      </c>
      <c r="E26" s="201"/>
    </row>
    <row r="27" spans="2:5" ht="28" x14ac:dyDescent="0.3">
      <c r="B27" s="202"/>
      <c r="C27" s="904" t="s">
        <v>852</v>
      </c>
      <c r="D27" s="905" t="s">
        <v>853</v>
      </c>
      <c r="E27" s="201"/>
    </row>
    <row r="28" spans="2:5" ht="28" x14ac:dyDescent="0.3">
      <c r="B28" s="202"/>
      <c r="C28" s="904" t="s">
        <v>854</v>
      </c>
      <c r="D28" s="905" t="s">
        <v>855</v>
      </c>
      <c r="E28" s="201"/>
    </row>
    <row r="29" spans="2:5" ht="28" x14ac:dyDescent="0.3">
      <c r="B29" s="202"/>
      <c r="C29" s="904" t="s">
        <v>856</v>
      </c>
      <c r="D29" s="905" t="s">
        <v>855</v>
      </c>
      <c r="E29" s="201"/>
    </row>
    <row r="30" spans="2:5" ht="28" x14ac:dyDescent="0.3">
      <c r="B30" s="202"/>
      <c r="C30" s="904" t="s">
        <v>857</v>
      </c>
      <c r="D30" s="905" t="s">
        <v>858</v>
      </c>
      <c r="E30" s="201"/>
    </row>
    <row r="31" spans="2:5" ht="28" x14ac:dyDescent="0.3">
      <c r="B31" s="202"/>
      <c r="C31" s="904" t="s">
        <v>859</v>
      </c>
      <c r="D31" s="905" t="s">
        <v>858</v>
      </c>
      <c r="E31" s="201"/>
    </row>
    <row r="32" spans="2:5" x14ac:dyDescent="0.3">
      <c r="B32" s="202"/>
      <c r="C32" s="904" t="s">
        <v>860</v>
      </c>
      <c r="D32" s="905" t="s">
        <v>861</v>
      </c>
      <c r="E32" s="201"/>
    </row>
    <row r="33" spans="2:11" ht="28" x14ac:dyDescent="0.3">
      <c r="B33" s="202"/>
      <c r="C33" s="904" t="s">
        <v>862</v>
      </c>
      <c r="D33" s="905" t="s">
        <v>863</v>
      </c>
      <c r="E33" s="201"/>
    </row>
    <row r="34" spans="2:11" ht="28" x14ac:dyDescent="0.3">
      <c r="B34" s="202"/>
      <c r="C34" s="904" t="s">
        <v>864</v>
      </c>
      <c r="D34" s="905" t="s">
        <v>863</v>
      </c>
      <c r="E34" s="201"/>
    </row>
    <row r="35" spans="2:11" x14ac:dyDescent="0.3">
      <c r="B35" s="202"/>
      <c r="C35" s="904" t="s">
        <v>865</v>
      </c>
      <c r="D35" s="905" t="s">
        <v>863</v>
      </c>
      <c r="E35" s="201"/>
    </row>
    <row r="36" spans="2:11" ht="28" x14ac:dyDescent="0.3">
      <c r="B36" s="202"/>
      <c r="C36" s="904" t="s">
        <v>866</v>
      </c>
      <c r="D36" s="905" t="s">
        <v>867</v>
      </c>
      <c r="E36" s="201"/>
    </row>
    <row r="37" spans="2:11" ht="28" x14ac:dyDescent="0.3">
      <c r="B37" s="202"/>
      <c r="C37" s="904" t="s">
        <v>868</v>
      </c>
      <c r="D37" s="905" t="s">
        <v>869</v>
      </c>
      <c r="E37" s="201"/>
    </row>
    <row r="38" spans="2:11" ht="28" x14ac:dyDescent="0.3">
      <c r="B38" s="202"/>
      <c r="C38" s="904" t="s">
        <v>870</v>
      </c>
      <c r="D38" s="905" t="s">
        <v>869</v>
      </c>
      <c r="E38" s="201"/>
    </row>
    <row r="39" spans="2:11" ht="28" x14ac:dyDescent="0.3">
      <c r="B39" s="202"/>
      <c r="C39" s="904" t="s">
        <v>871</v>
      </c>
      <c r="D39" s="905" t="s">
        <v>872</v>
      </c>
      <c r="E39" s="201"/>
    </row>
    <row r="40" spans="2:11" ht="28" x14ac:dyDescent="0.3">
      <c r="B40" s="202"/>
      <c r="C40" s="904" t="s">
        <v>873</v>
      </c>
      <c r="D40" s="905" t="s">
        <v>874</v>
      </c>
      <c r="E40" s="201"/>
    </row>
    <row r="41" spans="2:11" x14ac:dyDescent="0.3">
      <c r="B41" s="202"/>
      <c r="C41" s="904" t="s">
        <v>875</v>
      </c>
      <c r="D41" s="905" t="s">
        <v>876</v>
      </c>
      <c r="E41" s="201"/>
    </row>
    <row r="42" spans="2:11" ht="28" x14ac:dyDescent="0.3">
      <c r="B42" s="202"/>
      <c r="C42" s="904" t="s">
        <v>877</v>
      </c>
      <c r="D42" s="905" t="s">
        <v>878</v>
      </c>
      <c r="E42" s="201"/>
    </row>
    <row r="43" spans="2:11" x14ac:dyDescent="0.3">
      <c r="B43" s="202"/>
      <c r="C43" s="904" t="s">
        <v>879</v>
      </c>
      <c r="D43" s="905" t="s">
        <v>880</v>
      </c>
      <c r="E43" s="201"/>
    </row>
    <row r="44" spans="2:11" ht="28" x14ac:dyDescent="0.3">
      <c r="B44" s="202"/>
      <c r="C44" s="904" t="s">
        <v>881</v>
      </c>
      <c r="D44" s="905" t="s">
        <v>880</v>
      </c>
      <c r="E44" s="201"/>
    </row>
    <row r="45" spans="2:11" ht="42" x14ac:dyDescent="0.3">
      <c r="B45" s="202"/>
      <c r="C45" s="904" t="s">
        <v>882</v>
      </c>
      <c r="D45" s="905" t="s">
        <v>880</v>
      </c>
      <c r="E45" s="201"/>
    </row>
    <row r="46" spans="2:11" ht="28" x14ac:dyDescent="0.3">
      <c r="B46" s="202"/>
      <c r="C46" s="904" t="s">
        <v>883</v>
      </c>
      <c r="D46" s="905" t="s">
        <v>288</v>
      </c>
      <c r="E46" s="201"/>
    </row>
    <row r="47" spans="2:11" ht="56" x14ac:dyDescent="0.3">
      <c r="B47" s="202"/>
      <c r="C47" s="904" t="s">
        <v>884</v>
      </c>
      <c r="D47" s="905" t="s">
        <v>288</v>
      </c>
      <c r="E47" s="201"/>
    </row>
    <row r="48" spans="2:11" ht="28" x14ac:dyDescent="0.3">
      <c r="B48" s="202"/>
      <c r="C48" s="904" t="s">
        <v>885</v>
      </c>
      <c r="D48" s="905" t="s">
        <v>288</v>
      </c>
      <c r="E48" s="201"/>
      <c r="I48" s="217"/>
      <c r="J48" s="218"/>
      <c r="K48" s="219"/>
    </row>
    <row r="49" spans="2:5" ht="28" x14ac:dyDescent="0.3">
      <c r="B49" s="202"/>
      <c r="C49" s="904" t="s">
        <v>886</v>
      </c>
      <c r="D49" s="905" t="s">
        <v>288</v>
      </c>
      <c r="E49" s="201"/>
    </row>
    <row r="50" spans="2:5" ht="28" x14ac:dyDescent="0.3">
      <c r="B50" s="202"/>
      <c r="C50" s="904" t="s">
        <v>887</v>
      </c>
      <c r="D50" s="905" t="s">
        <v>888</v>
      </c>
      <c r="E50" s="201"/>
    </row>
    <row r="51" spans="2:5" ht="28" x14ac:dyDescent="0.3">
      <c r="B51" s="202"/>
      <c r="C51" s="906" t="s">
        <v>889</v>
      </c>
      <c r="D51" s="907" t="s">
        <v>888</v>
      </c>
      <c r="E51" s="201"/>
    </row>
    <row r="52" spans="2:5" ht="42" x14ac:dyDescent="0.3">
      <c r="B52" s="202"/>
      <c r="C52" s="906" t="s">
        <v>1507</v>
      </c>
      <c r="D52" s="908">
        <v>42917</v>
      </c>
      <c r="E52" s="201"/>
    </row>
    <row r="53" spans="2:5" x14ac:dyDescent="0.3">
      <c r="B53" s="202"/>
      <c r="C53" s="204"/>
      <c r="D53" s="204"/>
      <c r="E53" s="201"/>
    </row>
    <row r="54" spans="2:5" ht="14.5" thickBot="1" x14ac:dyDescent="0.35">
      <c r="B54" s="169"/>
      <c r="C54" s="170"/>
      <c r="D54" s="170"/>
      <c r="E54" s="171"/>
    </row>
  </sheetData>
  <mergeCells count="5">
    <mergeCell ref="C3:D3"/>
    <mergeCell ref="B4:D4"/>
    <mergeCell ref="C5:D5"/>
    <mergeCell ref="C7:D7"/>
    <mergeCell ref="C8:D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ProjectId xmlns="dc9b7735-1e97-4a24-b7a2-47bf824ab39e">60</ProjectId>
    <ReportingPeriod xmlns="dc9b7735-1e97-4a24-b7a2-47bf824ab39e" xsi:nil="true"/>
    <WBDocsDocURL xmlns="dc9b7735-1e97-4a24-b7a2-47bf824ab39e">http://pubdocs.worldbank.org/en/859871537655669812/60-Final-For-Web-PPR-Ecuador-2016-2017.xlsx</WBDocsDocURL>
    <WBDocsDocURLPublicOnly xmlns="dc9b7735-1e97-4a24-b7a2-47bf824ab39e">http://pubdocs.worldbank.org/en/951141537655677315/60-Final-For-Web-PPR-Ecuador-2016-2017.xlsx</WBDocsDocURLPublicOnly>
    <Fund_WBDocs xmlns="dc9b7735-1e97-4a24-b7a2-47bf824ab39e">AF</Fund_WBDocs>
    <ProjectStatus xmlns="dc9b7735-1e97-4a24-b7a2-47bf824ab39e">Project Approved</ProjectStatus>
    <PublicDoc xmlns="dc9b7735-1e97-4a24-b7a2-47bf824ab39e">Yes</PublicDoc>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86</PPFDocumentType>
    <DocumentType_WBDocs xmlns="dc9b7735-1e97-4a24-b7a2-47bf824ab39e">Project Status Report</DocumentType_WBDocs>
    <TrusteeId xmlns="dc9b7735-1e97-4a24-b7a2-47bf824ab39e" xsi:nil="true"/>
    <WBDocsApproverName xmlns="dc9b7735-1e97-4a24-b7a2-47bf824ab39e">000384891</WBDocsApproverName>
    <ApproverUPI_WBDocs xmlns="dc9b7735-1e97-4a24-b7a2-47bf824ab39e">000384891</ApproverUPI_WBDocs>
    <CurrentRequestId xmlns="dc9b7735-1e97-4a24-b7a2-47bf824ab39e" xsi:nil="true"/>
    <SentToWBDocsPublic xmlns="dc9b7735-1e97-4a24-b7a2-47bf824ab39e">Yes</SentToWBDocsPublic>
    <WBDocsMessage xmlns="dc9b7735-1e97-4a24-b7a2-47bf824ab39e" xsi:nil="true"/>
    <Fund xmlns="dc9b7735-1e97-4a24-b7a2-47bf824ab39e">AF</Fund>
    <AccesstoInfoException xmlns="dc9b7735-1e97-4a24-b7a2-47bf824ab39e" xsi:nil="true"/>
    <CashTransferId xmlns="dc9b7735-1e97-4a24-b7a2-47bf824ab39e" xsi:nil="true"/>
    <DocStatus xmlns="dc9b7735-1e97-4a24-b7a2-47bf824ab39e">Completed</DocStatus>
    <IsDraft xmlns="dc9b7735-1e97-4a24-b7a2-47bf824ab39e">true</IsDraft>
    <ProjectRevisionId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458A5212-81E8-44FC-8531-C5B06F56019B}"/>
</file>

<file path=customXml/itemProps2.xml><?xml version="1.0" encoding="utf-8"?>
<ds:datastoreItem xmlns:ds="http://schemas.openxmlformats.org/officeDocument/2006/customXml" ds:itemID="{7D1FC9C8-C8CB-41FE-BA60-4AA04443EDE8}"/>
</file>

<file path=customXml/itemProps3.xml><?xml version="1.0" encoding="utf-8"?>
<ds:datastoreItem xmlns:ds="http://schemas.openxmlformats.org/officeDocument/2006/customXml" ds:itemID="{108E670E-5445-4580-8B29-EAAF6C6FF5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8</vt:i4>
      </vt:variant>
    </vt:vector>
  </HeadingPairs>
  <TitlesOfParts>
    <vt:vector size="27" baseType="lpstr">
      <vt:lpstr>Overview</vt:lpstr>
      <vt:lpstr>FinancialData</vt:lpstr>
      <vt:lpstr>Procurement</vt:lpstr>
      <vt:lpstr>Risk Assesment</vt:lpstr>
      <vt:lpstr>Rating</vt:lpstr>
      <vt:lpstr>Project Indicators</vt:lpstr>
      <vt:lpstr>Results Tracker</vt:lpstr>
      <vt:lpstr>Units for Indicators</vt:lpstr>
      <vt:lpstr>Annex 1 Products</vt:lpstr>
      <vt:lpstr>Annex 2 Measures</vt:lpstr>
      <vt:lpstr>Annex 3 Lessons learned</vt:lpstr>
      <vt:lpstr>Annex 4 Media</vt:lpstr>
      <vt:lpstr>Annex 5 Institutional Media</vt:lpstr>
      <vt:lpstr>Annex 6 Explanatory Notes </vt:lpstr>
      <vt:lpstr>Annex 7 Incentive_Jubones</vt:lpstr>
      <vt:lpstr>Annex 8 Incentive Pichincha</vt:lpstr>
      <vt:lpstr>Annex 9 Gender</vt:lpstr>
      <vt:lpstr>Annex 10 Monitoring Processes</vt:lpstr>
      <vt:lpstr>Annex 11 Tipology of Adaptation</vt:lpstr>
      <vt:lpstr>'Annex 9 Gender'!_ftn1</vt:lpstr>
      <vt:lpstr>'Annex 9 Gender'!_ftn2</vt:lpstr>
      <vt:lpstr>'Annex 9 Gender'!_ftnref1</vt:lpstr>
      <vt:lpstr>'Annex 9 Gender'!_ftnref2</vt:lpstr>
      <vt:lpstr>'Annex 7 Incentive_Jubones'!Print_Area</vt:lpstr>
      <vt:lpstr>Rating!Print_Area</vt:lpstr>
      <vt:lpstr>'Risk Assesment'!Print_Area</vt:lpstr>
      <vt:lpstr>'Annex 7 Incentive_Jubones'!Print_Titles</vt:lpstr>
    </vt:vector>
  </TitlesOfParts>
  <Manager/>
  <Company>The World Bank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wb316591</dc:creator>
  <cp:keywords/>
  <dc:description/>
  <cp:lastModifiedBy>Martina Dorigo</cp:lastModifiedBy>
  <cp:revision/>
  <cp:lastPrinted>2016-12-30T20:13:14Z</cp:lastPrinted>
  <dcterms:created xsi:type="dcterms:W3CDTF">2010-11-30T14:15:01Z</dcterms:created>
  <dcterms:modified xsi:type="dcterms:W3CDTF">2018-07-16T14:13:46Z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0a413996-1378-4bfa-ba7f-4e936afa71d0,3;0a413996-1378-4bfa-ba7f-4e936afa71d0,4;0a413996-1378-4bfa-ba7f-4e936afa71d0,4;0a413996-1378-4bfa-ba7f-4e936afa71d0,4;0a413996-1378-4bfa-ba7f-4e936afa71d0,4;0a413996-1378-4bfa-ba7f-4e936afa71d0,4;0a413996-1378-4bfa-ba7f-4e936afa71d0,4;0a413996-1378-4bfa-ba7f-4e936afa71d0,4;0a413996-1378-4bfa-ba7f-4e936afa71d0,4;8602daae-4394-45c7-b912-0c99bcc17980,9;8602daae-4394-45c7-b912-0c99bcc17980,11;8602daae-4394-45c7-b912-0c99bcc17980,13;8602daae-4394-45c7-b912-0c99bcc17980,15;8d2215c5-c94c-43b7-921d-eb6db202df44,17;8d2215c5-c94c-43b7-921d-eb6db202df44,17;8d2215c5-c94c-43b7-921d-eb6db202df44,17;8d2215c5-c94c-43b7-921d-eb6db202df44,17;8d2215c5-c94c-43b7-921d-eb6db202df44,17;8d2215c5-c94c-43b7-921d-eb6db202df44,17;8d2215c5-c94c-43b7-921d-eb6db202df44,17;8d2215c5-c94c-43b7-921d-eb6db202df44,17;</vt:lpwstr>
  </property>
</Properties>
</file>