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India\India - Purulia and Bankura (West Bengal)\1 PPR\"/>
    </mc:Choice>
  </mc:AlternateContent>
  <xr:revisionPtr revIDLastSave="0" documentId="8_{3D20C752-A89E-4AA7-8403-F196FAA6CB1F}" xr6:coauthVersionLast="31" xr6:coauthVersionMax="31" xr10:uidLastSave="{00000000-0000-0000-0000-000000000000}"/>
  <bookViews>
    <workbookView xWindow="0" yWindow="0" windowWidth="13710" windowHeight="3150" activeTab="3" xr2:uid="{00000000-000D-0000-FFFF-FFFF00000000}"/>
  </bookViews>
  <sheets>
    <sheet name="Overview" sheetId="1" r:id="rId1"/>
    <sheet name="FinancialData" sheetId="2" r:id="rId2"/>
    <sheet name="Procurement" sheetId="3" state="hidden" r:id="rId3"/>
    <sheet name="Risk Assesment " sheetId="13" r:id="rId4"/>
    <sheet name="Rating" sheetId="12" r:id="rId5"/>
    <sheet name="Project Indicators" sheetId="14" r:id="rId6"/>
    <sheet name="Lessons Learned " sheetId="15" r:id="rId7"/>
    <sheet name="Result Tracker (New Format)"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 Tracker (New Format)'!$E$136:$E$138</definedName>
    <definedName name="info">'Result Tracker (New Format)'!$E$155:$E$157</definedName>
    <definedName name="Month">[1]Dropdowns!$G$2:$G$13</definedName>
    <definedName name="overalleffect">'Result Tracker (New Format)'!$D$155:$D$157</definedName>
    <definedName name="physicalassets">'Result Tracker (New Format)'!$J$155:$J$163</definedName>
    <definedName name="quality">'Result Tracker (New Format)'!$B$146:$B$150</definedName>
    <definedName name="question">'Result Tracker (New Format)'!$F$146:$F$148</definedName>
    <definedName name="responses">'Result Tracker (New Format)'!$C$146:$C$150</definedName>
    <definedName name="state">'Result Tracker (New Format)'!$I$150:$I$152</definedName>
    <definedName name="type1">'Result Tracker (New Format)'!$G$146:$G$149</definedName>
    <definedName name="Year">[1]Dropdowns!$H$2:$H$36</definedName>
    <definedName name="yesno">'Result Tracker (New Format)'!$E$142:$E$143</definedName>
  </definedNames>
  <calcPr calcId="179017" concurrentCalc="0"/>
</workbook>
</file>

<file path=xl/calcChain.xml><?xml version="1.0" encoding="utf-8"?>
<calcChain xmlns="http://schemas.openxmlformats.org/spreadsheetml/2006/main">
  <c r="I28" i="2" l="1"/>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T54" i="2"/>
  <c r="T57" i="2"/>
  <c r="K63" i="2"/>
  <c r="K87" i="2"/>
  <c r="K90" i="2"/>
  <c r="K77" i="2"/>
  <c r="K79" i="2"/>
  <c r="K81" i="2"/>
  <c r="K83" i="2"/>
  <c r="K92" i="2"/>
  <c r="R80" i="2"/>
  <c r="R85" i="2"/>
  <c r="K93" i="2"/>
  <c r="K68" i="2"/>
  <c r="K62" i="2"/>
  <c r="K74" i="2"/>
  <c r="K75" i="2"/>
  <c r="R63" i="2"/>
  <c r="R69" i="2"/>
  <c r="R65" i="2"/>
  <c r="K38" i="2"/>
  <c r="K40" i="2"/>
  <c r="K49" i="2"/>
  <c r="K53" i="2"/>
  <c r="K58" i="2"/>
  <c r="K59" i="2"/>
  <c r="R37" i="2"/>
  <c r="R41" i="2"/>
  <c r="K30" i="2"/>
  <c r="K35" i="2"/>
  <c r="K94" i="2"/>
  <c r="R94" i="2"/>
  <c r="K24" i="2"/>
  <c r="L24" i="2"/>
  <c r="L28" i="2"/>
  <c r="L29" i="2"/>
  <c r="L30" i="2"/>
  <c r="L31" i="2"/>
  <c r="L32" i="2"/>
  <c r="L33" i="2"/>
  <c r="L34" i="2"/>
  <c r="L35" i="2"/>
  <c r="L36" i="2"/>
  <c r="L37" i="2"/>
  <c r="L38" i="2"/>
  <c r="L40" i="2"/>
  <c r="L41" i="2"/>
  <c r="L42" i="2"/>
  <c r="L43" i="2"/>
  <c r="L44" i="2"/>
  <c r="L45" i="2"/>
  <c r="L47" i="2"/>
  <c r="L48" i="2"/>
  <c r="L49" i="2"/>
  <c r="L52" i="2"/>
  <c r="L53" i="2"/>
  <c r="L54" i="2"/>
  <c r="L55" i="2"/>
  <c r="L56" i="2"/>
  <c r="L58" i="2"/>
  <c r="L62" i="2"/>
  <c r="L64" i="2"/>
  <c r="L65" i="2"/>
  <c r="L66" i="2"/>
  <c r="L67" i="2"/>
  <c r="L68" i="2"/>
  <c r="L70" i="2"/>
  <c r="L74" i="2"/>
  <c r="L77" i="2"/>
  <c r="L79" i="2"/>
  <c r="L80" i="2"/>
  <c r="L81" i="2"/>
  <c r="L82" i="2"/>
  <c r="L83" i="2"/>
  <c r="L87" i="2"/>
  <c r="L90" i="2"/>
  <c r="L91" i="2"/>
  <c r="L92" i="2"/>
  <c r="L94" i="2"/>
  <c r="I19" i="2"/>
  <c r="I20" i="2"/>
  <c r="I21" i="2"/>
  <c r="I22" i="2"/>
  <c r="I18" i="2"/>
  <c r="I24" i="2"/>
  <c r="J24" i="2"/>
  <c r="M24" i="2"/>
  <c r="R24" i="2"/>
  <c r="J25" i="2"/>
  <c r="J26" i="2"/>
  <c r="R26" i="2"/>
  <c r="R27" i="2"/>
  <c r="E25" i="3"/>
  <c r="G25" i="3"/>
  <c r="H25" i="3"/>
  <c r="E24" i="3"/>
  <c r="H24" i="3"/>
  <c r="E23" i="3"/>
  <c r="H23" i="3"/>
  <c r="E22" i="3"/>
  <c r="G22" i="3"/>
  <c r="H22" i="3"/>
  <c r="E21" i="3"/>
  <c r="G21" i="3"/>
  <c r="H21" i="3"/>
  <c r="E20" i="3"/>
  <c r="G20" i="3"/>
  <c r="H20" i="3"/>
  <c r="G19" i="3"/>
  <c r="E19" i="3"/>
  <c r="E18" i="3"/>
  <c r="G18" i="3"/>
  <c r="H18" i="3"/>
  <c r="H15" i="3"/>
  <c r="H14" i="3"/>
  <c r="H13" i="3"/>
  <c r="H12" i="3"/>
  <c r="L78" i="2"/>
  <c r="J79" i="2"/>
  <c r="J77" i="2"/>
  <c r="E21" i="11"/>
  <c r="I21" i="11"/>
  <c r="M94" i="2"/>
  <c r="N22" i="2"/>
  <c r="N20" i="2"/>
  <c r="N19" i="2"/>
  <c r="N18" i="2"/>
  <c r="N24" i="2"/>
</calcChain>
</file>

<file path=xl/sharedStrings.xml><?xml version="1.0" encoding="utf-8"?>
<sst xmlns="http://schemas.openxmlformats.org/spreadsheetml/2006/main" count="1949" uniqueCount="1025">
  <si>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</si>
  <si>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</si>
  <si>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</si>
  <si>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</si>
  <si>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</si>
  <si>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</si>
  <si>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</si>
  <si>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</si>
  <si>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</si>
  <si>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</si>
  <si>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</si>
  <si>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</si>
  <si>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</si>
  <si>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</si>
  <si>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</si>
  <si>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</si>
  <si>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</si>
  <si>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</si>
  <si>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</si>
  <si>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</si>
  <si>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</si>
  <si>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</si>
  <si>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</si>
  <si>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</si>
  <si>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</si>
  <si>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</si>
  <si>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</si>
  <si>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</si>
  <si>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</si>
  <si>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</si>
  <si>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</si>
  <si>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</si>
  <si>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</si>
  <si>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</si>
  <si>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</si>
  <si>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</si>
  <si>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</si>
  <si>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</si>
  <si>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</si>
  <si>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</si>
  <si>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</si>
  <si>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</si>
  <si>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</si>
  <si>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</si>
  <si>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</si>
  <si>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</si>
  <si>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</si>
  <si>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</si>
  <si>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</si>
  <si>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</si>
  <si>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</si>
  <si>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</si>
  <si>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</si>
  <si>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</si>
  <si>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</si>
  <si>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</si>
  <si>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</si>
  <si>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</si>
  <si>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</si>
  <si>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</si>
  <si>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</si>
  <si>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</si>
  <si>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</si>
  <si>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</si>
  <si>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</si>
  <si>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</si>
  <si>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</si>
  <si>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</si>
  <si>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</si>
  <si>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</si>
  <si>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</si>
  <si>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</si>
  <si>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</si>
  <si>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</si>
  <si>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</si>
  <si>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</si>
  <si>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</si>
  <si>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</si>
  <si>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</si>
  <si>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</si>
  <si>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</si>
  <si>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</si>
  <si>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</si>
  <si>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</si>
  <si>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</si>
  <si>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</si>
  <si>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</si>
  <si>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</si>
  <si>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</si>
  <si>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</si>
  <si>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</si>
  <si>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</si>
  <si>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</si>
  <si>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</si>
  <si>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</si>
  <si>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</si>
  <si>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</si>
  <si>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</si>
  <si>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</si>
  <si>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</si>
  <si>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</si>
  <si>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</si>
  <si>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</si>
  <si>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</si>
  <si>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</si>
  <si>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</si>
  <si>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</si>
  <si>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</si>
  <si>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</si>
  <si>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</si>
  <si>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</si>
  <si>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</si>
  <si>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</si>
  <si>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</si>
  <si>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</si>
  <si>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</si>
  <si>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</si>
  <si>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</si>
  <si>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</si>
  <si>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</si>
  <si>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</si>
  <si>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</si>
  <si>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</si>
  <si>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</si>
  <si>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</si>
  <si>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</si>
  <si>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</si>
  <si>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</si>
  <si>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</si>
  <si>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</si>
  <si>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</si>
  <si>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</si>
  <si>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</si>
  <si>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</si>
  <si>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</si>
  <si>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</si>
  <si>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</si>
  <si>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</si>
  <si>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</si>
  <si>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</si>
  <si>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</si>
  <si>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</si>
  <si>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</si>
  <si>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</si>
  <si>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</si>
  <si>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</si>
  <si>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</si>
  <si>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</si>
  <si>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</si>
  <si>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</si>
  <si>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</si>
  <si>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</si>
  <si>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</si>
  <si>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</si>
  <si>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</si>
  <si>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</si>
  <si>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</si>
  <si>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</si>
  <si>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</si>
  <si>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</si>
  <si>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</si>
  <si>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</si>
  <si>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</si>
  <si>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</si>
  <si>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</si>
  <si>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</si>
  <si>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</si>
  <si>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</si>
  <si>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</si>
  <si>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</si>
  <si>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</si>
  <si>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</si>
  <si>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</si>
  <si>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</si>
  <si>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</si>
  <si>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</si>
  <si>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</si>
  <si>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</si>
  <si>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</si>
  <si>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</si>
  <si>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</si>
  <si>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</si>
  <si>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</si>
  <si>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</si>
  <si>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</si>
  <si>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</si>
  <si>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</si>
  <si>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</si>
  <si>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</si>
  <si>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</si>
  <si>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</si>
  <si>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</si>
  <si>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</si>
  <si>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</si>
  <si>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</si>
  <si>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</si>
  <si>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</si>
  <si>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</si>
  <si>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</si>
  <si>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</si>
  <si>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</si>
  <si>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</si>
  <si>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</si>
  <si>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</si>
  <si>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</si>
  <si>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</si>
  <si>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</si>
  <si>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</si>
  <si>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</si>
  <si>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</si>
  <si>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</si>
  <si>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</si>
  <si>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</si>
  <si>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</si>
  <si>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</si>
  <si>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</si>
  <si>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</si>
  <si>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</si>
  <si>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</si>
  <si>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</si>
  <si>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</si>
  <si>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</si>
  <si>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</si>
  <si>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</si>
  <si>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</si>
  <si>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</si>
  <si>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</si>
  <si>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</si>
  <si>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</si>
  <si>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</si>
  <si>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</si>
  <si>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</si>
  <si>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</si>
  <si>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</si>
  <si>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</si>
  <si>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</si>
  <si>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</si>
  <si>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</si>
  <si>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</si>
  <si>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</si>
  <si>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</si>
  <si>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</si>
  <si>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</si>
  <si>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</si>
  <si>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t>Fund Output Indicator Units</t>
  </si>
  <si>
    <t>Link: http://www.adaptation-fund.org/sites/default/files/Results%20Framework%20and%20Baseline%20Guidance%20final.pdf</t>
  </si>
  <si>
    <t>Baseline</t>
  </si>
  <si>
    <t>Project Performance Report (PPR)</t>
  </si>
  <si>
    <t>Indicator</t>
  </si>
  <si>
    <t>PROJECT Indicators</t>
  </si>
  <si>
    <t>Please provide all indicators being tracked for the project as outlined in the project document</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</si>
  <si>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</si>
  <si>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</si>
  <si>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</si>
  <si>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</si>
  <si>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</si>
  <si>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</si>
  <si>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</si>
  <si>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</si>
  <si>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</si>
  <si>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</si>
  <si>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</si>
  <si>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</si>
  <si>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</si>
  <si>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</si>
  <si>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</si>
  <si>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</si>
  <si>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</si>
  <si>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</si>
  <si>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</si>
  <si>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</si>
  <si>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</si>
  <si>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</si>
  <si>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</si>
  <si>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</si>
  <si>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</si>
  <si>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</si>
  <si>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</si>
  <si>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</si>
  <si>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</si>
  <si>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</si>
  <si>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</si>
  <si>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</si>
  <si>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</si>
  <si>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</si>
  <si>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</si>
  <si>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</si>
  <si>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</si>
  <si>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</si>
  <si>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Bid Amount (USD)</t>
  </si>
  <si>
    <t>Winning Bid Amount (USD)</t>
  </si>
  <si>
    <t>CONTRACT &amp; Procurement Method</t>
  </si>
  <si>
    <t>PLANNED EXPENDITURE SCHEDULE</t>
  </si>
  <si>
    <t xml:space="preserve">Results Tracker for Adaptation Fund (AF)  Projects    </t>
  </si>
  <si>
    <t>List outputs planned and corresponding projected cost for the upcoming reporting period</t>
  </si>
  <si>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</si>
  <si>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</si>
  <si>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</si>
  <si>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</si>
  <si>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</si>
  <si>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</si>
  <si>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</si>
  <si>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</si>
  <si>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</si>
  <si>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</si>
  <si>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</si>
  <si>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</si>
  <si>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</si>
  <si>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</si>
  <si>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</si>
  <si>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</si>
  <si>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</si>
  <si>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</si>
  <si>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</si>
  <si>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</si>
  <si>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</si>
  <si>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</si>
  <si>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</si>
  <si>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</si>
  <si>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</si>
  <si>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</si>
  <si>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</si>
  <si>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</si>
  <si>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</si>
  <si>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</si>
  <si>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</si>
  <si>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</si>
  <si>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</si>
  <si>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</si>
  <si>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</si>
  <si>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</si>
  <si>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</si>
  <si>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</si>
  <si>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</si>
  <si>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</si>
  <si>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</si>
  <si>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</si>
  <si>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</si>
  <si>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</si>
  <si>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</si>
  <si>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</si>
  <si>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</si>
  <si>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</si>
  <si>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</si>
  <si>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</si>
  <si>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</si>
  <si>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</si>
  <si>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</si>
  <si>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</si>
  <si>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</si>
  <si>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</si>
  <si>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</si>
  <si>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</si>
  <si>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</si>
  <si>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</si>
  <si>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</si>
  <si>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</si>
  <si>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</si>
  <si>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</si>
  <si>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</si>
  <si>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</si>
  <si>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</si>
  <si>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</si>
  <si>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</si>
  <si>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</si>
  <si>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</si>
  <si>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</si>
  <si>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</si>
  <si>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</si>
  <si>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</si>
  <si>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</si>
  <si>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</si>
  <si>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</si>
  <si>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</si>
  <si>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</si>
  <si>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</si>
  <si>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</si>
  <si>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</si>
  <si>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</si>
  <si>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</si>
  <si>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</si>
  <si>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</si>
  <si>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</si>
  <si>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</si>
  <si>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</si>
  <si>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</si>
  <si>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</si>
  <si>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</si>
  <si>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</si>
  <si>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</si>
  <si>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</si>
  <si>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</si>
  <si>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</si>
  <si>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</si>
  <si>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</si>
  <si>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</si>
  <si>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</si>
  <si>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</si>
  <si>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</si>
  <si>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</si>
  <si>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</si>
  <si>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</si>
  <si>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</si>
  <si>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</si>
  <si>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</si>
  <si>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</si>
  <si>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</si>
  <si>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</si>
  <si>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</si>
  <si>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</si>
  <si>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</si>
  <si>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</si>
  <si>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</si>
  <si>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</si>
  <si>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</si>
  <si>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</si>
  <si>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3: Partially enforced (Some elements implemented)</t>
  </si>
  <si>
    <t>Wind</t>
  </si>
  <si>
    <t>subsoil assets</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</si>
  <si>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</si>
  <si>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</si>
  <si>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</si>
  <si>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</si>
  <si>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</si>
  <si>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</si>
  <si>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</si>
  <si>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</si>
  <si>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</si>
  <si>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</si>
  <si>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</si>
  <si>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</si>
  <si>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</si>
  <si>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</si>
  <si>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</si>
  <si>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</si>
  <si>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</si>
  <si>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</si>
  <si>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</si>
  <si>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</si>
  <si>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</si>
  <si>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</si>
  <si>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</si>
  <si>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</si>
  <si>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</si>
  <si>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</si>
  <si>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</si>
  <si>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</si>
  <si>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</si>
  <si>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</si>
  <si>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</si>
  <si>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</si>
  <si>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</si>
  <si>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</si>
  <si>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</si>
  <si>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</si>
  <si>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</si>
  <si>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</si>
  <si>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</si>
  <si>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</si>
  <si>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</si>
  <si>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</si>
  <si>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</si>
  <si>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</si>
  <si>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</si>
  <si>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</si>
  <si>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</si>
  <si>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</si>
  <si>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</si>
  <si>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</si>
  <si>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</si>
  <si>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</si>
  <si>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</si>
  <si>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</si>
  <si>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</si>
  <si>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</si>
  <si>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</si>
  <si>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</si>
  <si>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</si>
  <si>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</si>
  <si>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</si>
  <si>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</si>
  <si>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</si>
  <si>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</si>
  <si>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</si>
  <si>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</si>
  <si>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</si>
  <si>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</si>
  <si>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</si>
  <si>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</si>
  <si>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</si>
  <si>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</si>
  <si>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</si>
  <si>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</si>
  <si>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</si>
  <si>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</si>
  <si>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</si>
  <si>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</si>
  <si>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</si>
  <si>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</si>
  <si>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</si>
  <si>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</si>
  <si>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</si>
  <si>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</si>
  <si>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</si>
  <si>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</si>
  <si>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</si>
  <si>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</si>
  <si>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</si>
  <si>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</si>
  <si>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</si>
  <si>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</si>
  <si>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</si>
  <si>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</si>
  <si>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</si>
  <si>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</si>
  <si>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</si>
  <si>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</si>
  <si>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</si>
  <si>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</si>
  <si>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</si>
  <si>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</si>
  <si>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</si>
  <si>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</si>
  <si>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</si>
  <si>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</si>
  <si>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</si>
  <si>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</si>
  <si>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</si>
  <si>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</si>
  <si>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</si>
  <si>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</si>
  <si>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</si>
  <si>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</si>
  <si>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</si>
  <si>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</si>
  <si>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</si>
  <si>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</si>
  <si>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</si>
  <si>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</si>
  <si>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</si>
  <si>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</si>
  <si>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</si>
  <si>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</si>
  <si>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</si>
  <si>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</si>
  <si>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</si>
  <si>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</si>
  <si>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</si>
  <si>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</si>
  <si>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</si>
  <si>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</si>
  <si>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</si>
  <si>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</si>
  <si>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</si>
  <si>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</si>
  <si>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</si>
  <si>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</si>
  <si>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</si>
  <si>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</si>
  <si>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</si>
  <si>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</si>
  <si>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</si>
  <si>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</si>
  <si>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</si>
  <si>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</si>
  <si>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</si>
  <si>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</si>
  <si>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</si>
  <si>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</si>
  <si>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</si>
  <si>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</si>
  <si>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</si>
  <si>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</si>
  <si>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</si>
  <si>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</si>
  <si>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</si>
  <si>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</si>
  <si>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</si>
  <si>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</si>
  <si>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</si>
  <si>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</si>
  <si>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</si>
  <si>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</si>
  <si>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</si>
  <si>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</si>
  <si>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</si>
  <si>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</si>
  <si>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</si>
  <si>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</si>
  <si>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</si>
  <si>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</si>
  <si>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</si>
  <si>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</si>
  <si>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</si>
  <si>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</si>
  <si>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</si>
  <si>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</si>
  <si>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</si>
  <si>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</si>
  <si>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</si>
  <si>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</si>
  <si>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</si>
  <si>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</si>
  <si>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</si>
  <si>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</si>
  <si>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</si>
  <si>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</si>
  <si>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</si>
  <si>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</si>
  <si>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</si>
  <si>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</si>
  <si>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</si>
  <si>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</si>
  <si>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</si>
  <si>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</si>
  <si>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</si>
  <si>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</si>
  <si>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</si>
  <si>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</si>
  <si>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</si>
  <si>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</si>
  <si>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</si>
  <si>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</si>
  <si>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</si>
  <si>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</si>
  <si>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</si>
  <si>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</si>
  <si>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</si>
  <si>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</si>
  <si>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</si>
  <si>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</si>
  <si>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</si>
  <si>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</si>
  <si>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</si>
  <si>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</si>
  <si>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</si>
  <si>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</si>
  <si>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</si>
  <si>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</si>
  <si>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</si>
  <si>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</si>
  <si>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</si>
  <si>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</si>
  <si>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</si>
  <si>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</si>
  <si>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</si>
  <si>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</si>
  <si>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</si>
  <si>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</si>
  <si>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</si>
  <si>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</si>
  <si>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</si>
  <si>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</si>
  <si>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</si>
  <si>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</si>
  <si>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</si>
  <si>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Developing climate adaptive and resilient livelihood systems through diversification, technology adoption and natural resource management for small and marginal farmers associated with agriculture and allied sector in the Red Soil and Lateritic Zone of West Bengal.</t>
  </si>
  <si>
    <t>Project ID : IND/NIE/Agri/2014/1</t>
  </si>
  <si>
    <t>NABARD</t>
  </si>
  <si>
    <t>District : Purulia / Block : Kashipur : Gram Panchayat (GP) : Sonathali (Village : Jaganathdih /Jamkiri /Balarampur/ Lara Jibanpur), GP : Agardi chitra (Village : Seja / Chakadih /Jalumdih /Itamarah /Beldih Kashidi/ Sura/ Bangara), GP : Rangamati Ranjandi (Village : Ranjandih /Bodma /Jorethol /Tilabani /Lajhna),    District : Bankura / Block : Chhatna : GP : Ghoshergram (Village : Khorbona /Dumdumi /Ghosergram /Hanspahari /Shuara bakra/ Enari /Bengaoria), GP : Jhunjhka (Majhidih /Hausibad /Kalipur /Shirpuria /Salunim /Jhunjka /Pechashimul/ Ethani/Jiurakelai /Joynagar /Dumurkundi / Besara Kendua /Gopalpur /Bagjura)</t>
  </si>
  <si>
    <t xml:space="preserve">Inception workshop report, steering committee procedure meeting, brochures in vernacular language, Newspaper report on inception workshop. Dedicated website has been developed.  </t>
  </si>
  <si>
    <t>http://www.drcsc.org/CCA/3/index.html</t>
  </si>
  <si>
    <t>drcscsujit@gmail.com</t>
  </si>
  <si>
    <t>ravis.prasad@nic.in</t>
  </si>
  <si>
    <t>Development Research Communication and Services Center</t>
  </si>
  <si>
    <t>drcscnew@gmail.com</t>
  </si>
  <si>
    <t xml:space="preserve"> GIS Mapping  and Land &amp; Water use master plan (LUP &amp; WUMP)</t>
  </si>
  <si>
    <t>Reducing climate risks through timely and appropriate weather specific crop/ agro-advisory services in local language</t>
  </si>
  <si>
    <t>Climate resilient technology transfer for enhancing the adaptive capacity of the community</t>
  </si>
  <si>
    <t>Learning &amp; Knowledge Management</t>
  </si>
  <si>
    <t>Project /Programme Execution Cost</t>
  </si>
  <si>
    <t>GIS Mapping</t>
  </si>
  <si>
    <t>GP Level WUMP &amp; LUP</t>
  </si>
  <si>
    <t>Sub Total</t>
  </si>
  <si>
    <t>Installation of AWS &amp; MDCC</t>
  </si>
  <si>
    <t>Establishment of CRC</t>
  </si>
  <si>
    <t>Establishment of Climate Kiosk Centre</t>
  </si>
  <si>
    <t xml:space="preserve">Step Pond      </t>
  </si>
  <si>
    <t xml:space="preserve">Earthwork for Soil &amp; water Conservation  </t>
  </si>
  <si>
    <t xml:space="preserve">Plantation  </t>
  </si>
  <si>
    <t>Check Dam</t>
  </si>
  <si>
    <t>Model IFS</t>
  </si>
  <si>
    <t>Input support for SA</t>
  </si>
  <si>
    <t>Support for Small  animals &amp; birds  including vaccination</t>
  </si>
  <si>
    <t>Lift Irrigation</t>
  </si>
  <si>
    <t>Community based Grain Bank</t>
  </si>
  <si>
    <t>Community Seed Bank</t>
  </si>
  <si>
    <t>Community Fodder Bank</t>
  </si>
  <si>
    <t xml:space="preserve">Energy Efficient Oven( Smokeless chullah) </t>
  </si>
  <si>
    <t>Installation of Biogas</t>
  </si>
  <si>
    <t>Low cost Water Filter</t>
  </si>
  <si>
    <t>Community Based Drinking Water</t>
  </si>
  <si>
    <t>Technical &amp; Financial Paper</t>
  </si>
  <si>
    <t>Policy paper</t>
  </si>
  <si>
    <t>Awareness Films</t>
  </si>
  <si>
    <t>Farmers' Convention</t>
  </si>
  <si>
    <t>Mass Awareness Events</t>
  </si>
  <si>
    <t>Networking Meeting</t>
  </si>
  <si>
    <t>Local Level Workshop</t>
  </si>
  <si>
    <t>State level Workshop</t>
  </si>
  <si>
    <t>National  level Seminar</t>
  </si>
  <si>
    <t>Operational cost - H/O &amp; 2 District Office</t>
  </si>
  <si>
    <t>Travel</t>
  </si>
  <si>
    <t>Project Inception Workshop</t>
  </si>
  <si>
    <t>Inception Repot</t>
  </si>
  <si>
    <t>Report( Half Yearly  &amp; Annual Report)</t>
  </si>
  <si>
    <t>Project Review/ Monitoring meeting</t>
  </si>
  <si>
    <t>Evaluation-( Mid term &amp; End term)</t>
  </si>
  <si>
    <t>Salary and Honorarium</t>
  </si>
  <si>
    <t>Not Applicable</t>
  </si>
  <si>
    <t>Local Government fail to prioritize, sustain and upscale support for climate adaptive interventions in their strategies and plans</t>
  </si>
  <si>
    <t>Inception Phase completed in May 2015.                                                Within this phase, a Standard Operating Procedure (SOP) document has been signed.  
The project manager is to be recruited.                                                           The Inception workshop was held, Inception report was produced,                        Local stakeholder consultations held and annual work plan was  developed after having consultations.</t>
  </si>
  <si>
    <t xml:space="preserve">Component 1: Communities adopt land and water use master plans with the help of Panchayats through better understanding of climate change related impacts  </t>
  </si>
  <si>
    <t>5 Gram Panchayat -wise Land and  Water use Master Plans are prepared</t>
  </si>
  <si>
    <t>Component 2: Reducing climate risks through timely and appropriate weather specific crop/agro-advisory services in local language (Bengali)</t>
  </si>
  <si>
    <t>Automated Weather Stations (AWS) at 6 locations (covering 10 sq.km each), 12 manual data collection centres (MDC) for collection of weather information</t>
  </si>
  <si>
    <t xml:space="preserve">Climatologist conducted visit at every villages with GPRS machine to pin point exact location of every villages and distance from one village to another was measured.                                                                                                                               * Identifications of ideal location of villages where AWS can be installed based on their distance so that each AWS can cover an area of 10 sq.km.                                                                                                   
* After identification of villages, community meeting was organised to receive their feedback on their willingness to facilitate AWS and (MDC) establishment.                                                   
*Regarding establishment of AWS a contract was made with the community people that the land will be provided by the villagers at free of cost.                                                                                      
*Contract was made with the community that protection of the AWS and its assembly will be taken care of by them.                                                                                                                                                                          
 * Fencing was erected surrounding the AWS.                                                                                         </t>
  </si>
  <si>
    <t xml:space="preserve">* Suitable Agency has been identified who have experiences of successfully analysing and disseminating weather forecast and contract has been finalized with the agency.                                                                                                                                                * CRC manager has been appointed.                                                                                                                    
* Weather data is being collected at regular interval from AWS by CRC manager and sent to the expert for data analysis.                                                                                                                                                      
 * Climatologists are generating weather advisory at 5 day interval.                                                                 
 * Contract has been made with agricultural university by the expert group and in consultation with them crop advisory is being sent to the CRC manager.                                                                                    
 * CRC manager along with the consultation of organic farming expert is generating crop advisory which is organic in nature.                                                                                          </t>
  </si>
  <si>
    <t>A Climate Resource Centre located at the centre of the project area and 40 weather kiosks managed by climate volunteers for collection and dissemination of crop-weather advisories</t>
  </si>
  <si>
    <t xml:space="preserve"> *Establishment of one climate Resource Center                                                      * Establishment of 40 weather kiosks.                                                                                </t>
  </si>
  <si>
    <t xml:space="preserve">*Proper Location of one Climate Resource Centre (CRC) has been identified.                                                          
* Required equipment has been procured and one Climate Resource Centre has been established in identified location.                                                                                                                                                
 *In every village, within project location, meetings have been conducted to identify climate volunteers.                                                                                                                                                                   * 39 Climate volunteers have been selected best on their suitability and willingness to serve as climate volunteers.                                                                                                                                                               
* CRC managers are receiving the information of crop and weather advisory  from expert group and disseminating the information to the climate volunteers                                                                          
* Climate volunteers are disseminating the information at 5 days interval  through display of information on the village boards  as well as pasting of hard copy in various locations to reach greater number of targeted populations.                                                                                                                                                    * Volunteers have also started collecting feedback from the beneficiaries on the effectiveness of   weather and crop advisory.  
* All the 40 weather kiosks have been installed.                                                                                              </t>
  </si>
  <si>
    <t xml:space="preserve"> Component 3: Climate resilient technology transfer for enhancing the adaptive capacity of the community</t>
  </si>
  <si>
    <t>Sustainable soil and water conservation measures (e.g. semi-circular bunds, check dams, gully plugs, infiltration ditches and agro forestry plantations) for various ecosystems introduced for improvement of agricultural productivity and environmental sustainability</t>
  </si>
  <si>
    <t xml:space="preserve">* Soil and water structures such as semi circular bunds, check dams, gully plugs  are constructed                                                                                                                 * Construction of infiltration  ditches                                                                        * Agro forestry plantation  </t>
  </si>
  <si>
    <t>MS</t>
  </si>
  <si>
    <t>* Introduction of Integrated Farming system                                                               * Introduction of Multi level crop arrangement                                                                           * Introduction of small livestocks</t>
  </si>
  <si>
    <t>Disaster-coping mechanisms e.g. community grain banks, local crop &amp; trees seed banks, fodder banks developed in targeted villages</t>
  </si>
  <si>
    <t xml:space="preserve">*Introduction of community grain bank                                                                    * Developing 1 fodder bank                               </t>
  </si>
  <si>
    <t>s</t>
  </si>
  <si>
    <t>Climate resilient appropriate technologies e.g. energy efficient cook stoves, bio-gas, low cost water filters, community based drinking water facility are promoted.</t>
  </si>
  <si>
    <t xml:space="preserve">• The importance of smokeless oven, biogas and water filter is discussed in the group meetings organised at different villages.
• Group submits the interest and name of beneficiaries for oven, biogas and water filter.
• The proposals have been reviewed in project review meetings.
• After reviewing approval has been given. 
• Purchase of raw materials for smokeless oven and bio gas has been ensured as per norm of collecting quotations.
• Total 361 smoke less oven has been initiated. 341 ovens has been completed and beneficiaries have started using them.                                                                                                                                                                                                   * Total 30 beneficiaries have been identified for introduction of bio gas. 3 bio gas has been completed and work going on in 20 plants                                                                                                                                                                          * The recycling of slurry is ensured from bio gas plants already in use.                                                                                * 324 house hold has been identified for introduction of low cost water filter and 246 HHs has already received water filter.                                                                                                                                                                                              *For introduction of community based drinking water facility number of meetings has been organized in the villages based on requirement and interest of the community. But final site selection is yet to be accomplished.             
</t>
  </si>
  <si>
    <t>Component 4: Learning and Knowledge Management</t>
  </si>
  <si>
    <t>Improved access to learning from the project activities to be ensured through short films, dedicated website and other printed materials</t>
  </si>
  <si>
    <t xml:space="preserve">Number of audio visual publications, awareness materials (e.g. folders, brochures, pamphlets, posters, newsletters, journals, IEC materials) published
Dedicated website created and updated regularly
Number of mass awareness generation measures (e.g. participation in village fairs, rallies, campaigns) adopted
</t>
  </si>
  <si>
    <t xml:space="preserve">*Two awareness film making is under process.                                                                                                
 *One dedicated website has been developed and monthly basis updating is going on www. Drcsc.org/CCA/index.html.                                                                                                                                     *3 mass awareness events have been organized involving various stakeholders.                                                         
* One rally has been conducted with the farmers, gardeners and representative of various concerned NGOs and experts. General awareness related camps were organized with various stake holders and climate experts.  In these events, some progressive farmers also shared their experience in this session. Various life models was on demonstration and organic and natural produces by local farmers was also sold. This event was covered in Doordarshan News.    2 nos of other rallies has been conducted with school children. The children also conducted a survey for generating awareness on “climate change and its effect’s among the community people. Children from 12 schools took part in the programme.                                                                                                        
. In one of the awareness generation programme, children were engaged in poster competition, quiz competition and a programme was organized on reuse and recycle of waste materials.  Prize was distributed among best performers of various events. In this events many steering committee members like   DDM, NABARD, Bankura and ADM (Development), Bankura, BDO ( Chatna), local PRI members and other officials of line department also  took part.                                                                                                         *Numbers of awareness materials like brochures, note book, pamphlets, IEC materials and flex has been published.          5 district level steering committee meeting (3 in one district and 2 in other) and one state level steering committee was organised. One district level experience sharing workshop was organised in district headquarter               </t>
  </si>
  <si>
    <t xml:space="preserve">                           s</t>
  </si>
  <si>
    <t>Sujit Kumar Mitra    Programme Manager</t>
  </si>
  <si>
    <t xml:space="preserve">Inception Phase completed in May 2015.                                                Within this phase, a Standards of Operations (SOP) Document signed.  The project manager is to be recruited,                                                           The Inception workshop held, Inception report produced,                        local stakeholder consultations held and annual work plan consultatively developed. </t>
  </si>
  <si>
    <t>Automated Weather stations (AWS) at 6 locations (covering 10 sq.km each), 12 manual data collection centres (MDC) for collection of weather information</t>
  </si>
  <si>
    <t>A Climate Resource Centre (CRC) located at the centre of the project area and 40 weather kiosks managed by climate volunteers for collection and dissemination of crop-weather advisories</t>
  </si>
  <si>
    <t xml:space="preserve">* Soil and water structures such as semi circular bunds, check dams, gully plugs  are constructed                                                                                                                 *  Construction of infiltration  ditches                                                                        * Agro forestry plantation  </t>
  </si>
  <si>
    <t>Please Provide the Name and Contact information of person(s) responsible for completing the Rating section</t>
  </si>
  <si>
    <t>NA</t>
  </si>
  <si>
    <t xml:space="preserve">Political Stability and Peace 
Normality of Weather Conditions </t>
  </si>
  <si>
    <t>Government officials and Panchayat representatives may change</t>
  </si>
  <si>
    <t>Few farmers may not use the crop-advisories</t>
  </si>
  <si>
    <t>Volunteers absenteeism</t>
  </si>
  <si>
    <t>Demand for labour near or outside the project area leads to outmigration.</t>
  </si>
  <si>
    <t xml:space="preserve">In the project location, members from targeted families are forced to migrate as there is no employment opportunity for the substantial period of the year. But creation of employment opportunities through earth work and other agro allied trades will check this trend. Employment opportunities for rural youth are also being created through building capacities for natural resource management trades.  </t>
  </si>
  <si>
    <t>Major price fluctuation of the recommended commodities</t>
  </si>
  <si>
    <t xml:space="preserve">Macro Planning remains in place but participatory planning at local level for adaptive measures is not taken </t>
  </si>
  <si>
    <t>Policy makers and politicians prioritize economic benefits over sustainable and resilient ecosystems</t>
  </si>
  <si>
    <t>Additional development (financial and marketing) support for alternate food and livelihoods are unavailable in the target Gram Panchayats at the required time</t>
  </si>
  <si>
    <t>Lack of awareness among participating communities and local officials on CC and potential impacts</t>
  </si>
  <si>
    <t xml:space="preserve">Regular group based meeting are being conducted in villages to generate more awareness about importance of crop advisory. Along with awareness generation meeting regarding importance of crop advisories and how to use it, various successful case stories of effective use of weather forecast and crop advisories are being showcased to motivate those who are still not attaching that much importance to crop advisories.   </t>
  </si>
  <si>
    <t xml:space="preserve">Advocacy is being done to bridge the gap between the existing planning process of Govt. in macro and micro level. Regular meeting is being conducted with PRI members and local level Govt. officials to bring bottom up approach in planning process. At district level as well as state level, advocacy is being done in various forums to influence Govt. policy to ensure common people's active participation in planning process.   </t>
  </si>
  <si>
    <t>The project has been designed to provide technology and inputs for such climate resilient livelihood in line with the Govt. of India's national programme of food security, poverty alleviation and village development. All these programme are active in the project area and Liaison are made with regular development programme and project objectives.</t>
  </si>
  <si>
    <t>2 Advocacy films are prepared . 8 local level and 3 state level experience sharing workshops and 1 national level advocacy workshops/ seminar involving all stakeholders is conducted</t>
  </si>
  <si>
    <t>No advocacy film available. No workshops organized involving the stakeholders</t>
  </si>
  <si>
    <t xml:space="preserve">4.3        Number of advocacy films prepared  
Number of workshops organized                                                   Number of stakeholders participated </t>
  </si>
  <si>
    <t xml:space="preserve">4.2  Number of audio visual publications, awareness materials ( e.g. folders, brochures, pamphlets, posters, newsletters, journals,  IEC materials ) published.        Dedicated website created and updated regularly                                                                                Number of mass awareness generation measure ( e.g. participation  in village fairs, rallies, campaigns ) </t>
  </si>
  <si>
    <t>At least five technical reports and one policy paper published for wider dissemination</t>
  </si>
  <si>
    <t xml:space="preserve">Out of two one technical reports are being prepared but not yet finalized </t>
  </si>
  <si>
    <t>Absence of location specific analytical report</t>
  </si>
  <si>
    <t>4.1       Number of technical reports published</t>
  </si>
  <si>
    <t>Local  level planning does not consider climate change related aspects. Only few farmers practice ecological farming and livelihood practices</t>
  </si>
  <si>
    <t>A very few community grain banks and no seed or fodder bank exist  in the area</t>
  </si>
  <si>
    <t>1 Climate Resource Centre at Central Locations and 40 weather kiosks are in place. 5-6 crop - weather advisories per month are disseminated to the entire community</t>
  </si>
  <si>
    <t>No system for regular dissemination of crop weather advisories</t>
  </si>
  <si>
    <t>Five to six crop - weather advisories are generated per month</t>
  </si>
  <si>
    <t>Weather reports are available at state and District level but no location specific crop weather advisory services are available</t>
  </si>
  <si>
    <t>AWS at 6 locations , 12 MDCC installed for collection of weather information</t>
  </si>
  <si>
    <t>No AWS installed for collecting village level weather data</t>
  </si>
  <si>
    <t>More than 6200 farmers ( including 3720 women farmers) in target area receive crop - weather advisory in local languages ( Bengali)</t>
  </si>
  <si>
    <t xml:space="preserve"> Crop advisory is being sent in local language  at 5 days intervals to all  villages through hard copy and  writing on board  at village level. Directly 1917 households are receiving  weather and agro advisory. 2000 mobile numbers have been contacted to Short Message Services  (SMSs) in mobiles.  Weather forecast and crop advisory messages are being sent to the enrolled numbers on trial basis to get the feedback so as to access how many of them has received it properly. As at villages level, majority of the phones do not support message in vernacular languages and also as messages were intended to be promotional; the sets activated with DND could not access to this services. So through trial, effectiveness of mobile message is being assess and required steps will be taken in coming days. </t>
  </si>
  <si>
    <t xml:space="preserve">Crop weather advisory  services are not available to the farmers in the project locations </t>
  </si>
  <si>
    <t>In all the  GPs , communities and Panchayats consider land and water use master plans at the time of making village development plans</t>
  </si>
  <si>
    <t>Farm families highly exposed to climate change related livelihood insecurity having no definite clue about the reasons or the solutions     
 No scientific information and participatory processes are involved in planning Land and Water use</t>
  </si>
  <si>
    <t>Not applicable at this stage</t>
  </si>
  <si>
    <t xml:space="preserve">We could not receive Govt weather data of Purulia District .  As a result, comparison could not be made with  block level  govt data with area specific Automated Weather Station data to come to a conclusion about in what context area specific weather forecast and crop advisory is required or not required.   </t>
  </si>
  <si>
    <t>IND/NIE/Agri/2014/1</t>
  </si>
  <si>
    <t xml:space="preserve">National Bank for Agriculture and Rural Development (NABARD) </t>
  </si>
  <si>
    <t>1: Health and Social Infrastructure (developed/improved)</t>
  </si>
  <si>
    <t>List output and corresponding amount spent for the current reporting period</t>
  </si>
  <si>
    <t>Cost of Data Collection, entry &amp; analysis etc.</t>
  </si>
  <si>
    <t>Micro Irrigation Facilities- 650 Ditch/150 Dug well</t>
  </si>
  <si>
    <t>Production of Organic Manure-  Vermi - compost</t>
  </si>
  <si>
    <t>Printing Materials-Newsletter, brochure etc.</t>
  </si>
  <si>
    <t>Website Design &amp; Regular updating</t>
  </si>
  <si>
    <t>Advocacy film</t>
  </si>
  <si>
    <t>Vehicle Cost</t>
  </si>
  <si>
    <t>Office Equipment's</t>
  </si>
  <si>
    <t>Capacity Building Training- SHG, SA, NRM based Activates</t>
  </si>
  <si>
    <t>The 1st year of project implementation grant disbursement was as per the phasing of the Programme</t>
  </si>
  <si>
    <t>Signature Date</t>
  </si>
  <si>
    <t>Name of Contract , Procurement Method, Date of Call</t>
  </si>
  <si>
    <t>Name of Contract , Procurement Method, if applicable Date of Call</t>
  </si>
  <si>
    <t>Regular meeting and awareness generation activates are being conducted not only with steering committee members but also with block level officials and with PRI members. As a result ,when any change occur, newly appointed officials get oriented about the project without delay.</t>
  </si>
  <si>
    <t>Usually when volunteers are out of working area, they usually designate the job to fellow group members who have been capacitate to do the job in absence of climate volunteers.</t>
  </si>
  <si>
    <t>Demonstration with low cost sustainable models and its positive  impact is being a part of advocacy and communication at all levels to get rid of the problems.</t>
  </si>
  <si>
    <t xml:space="preserve">Groups have been formed due to difference in economic and social status which could intern reduce their efficiency </t>
  </si>
  <si>
    <t xml:space="preserve">Various awareness and sensitization meeting are being carried out with both  beneficiaries as well as got officials. </t>
  </si>
  <si>
    <t xml:space="preserve"> Low
The third project steering committee meeting has been completed soon after the  assembly election.</t>
  </si>
  <si>
    <t xml:space="preserve">Due to assembly election, the third project steering committee meeting could not be organized on stipulated time. </t>
  </si>
  <si>
    <t>Yes. The meetings to be conducted in future would be planned so as to facilitate free participation of the project stakeholders in the days other than those having restrictions.</t>
  </si>
  <si>
    <t xml:space="preserve">Beneficiary with similar social and economical background are brought in one group as a result of which their  effectiveness increases. Similarly, capacity building of groups are being done along with laying special focus on group leader so that he can resolve any conflict arising out of groups members. </t>
  </si>
  <si>
    <t>Inception phase of the project completed</t>
  </si>
  <si>
    <t xml:space="preserve">Fulfilling the terms and condition of  the project an agreement was signed between the implementing entity ( DRCSC) and monitoring agency ( NABARD) with clearly mentioned Standard of Operation  ( SOP ).  As per plan, inception workshop was organized in the month of May,2015  where presence of different stakeholders was ensured to develop  proper understanding about  the project   objectives and its associated initiatives. For ensuring engaging role of the Govt  in this Climate change project Smt Monsoon, Hon’ble Member of Parliament, Bankura , Shri Vijay Bharti, IAS, District Magistrate, Bankura  was specially invited. Differ  stakeholder of the project - farmers , PRI members , line department officials were invited to be an active participant of the programme. The recruitment of the Programme manager and some other key persons were completed so that  programme can be rolled out  as per plan. </t>
  </si>
  <si>
    <t xml:space="preserve">* Completion of the Agreement with the expert Agency for conducting GIS mapping                                                                                                                      *  Engagement of the Expert Agency for conducting GIS mapping                          * Initiation of the assessment of various  issues related to GIS mapping process to develop land and water use master plan                                                                    * Orientation of the community people  regarding the project initiatives and  its desired goal                                                                                                              * Mobilization of the community to developed their ownership in the programme  </t>
  </si>
  <si>
    <t xml:space="preserve">* Establishment of 6 AWS at 6 locations covering 10 sq.km each                            * Establishment of 12 manual data collection centres ( MDC) for collection of weather information   </t>
  </si>
  <si>
    <t xml:space="preserve"> The contract with the climatologist was accomplished and the agency was engaged in the AWS establishment process for machine installation. A number of FGD was conducted by the climatologist  with the community to assess community perspective on usefulness of AWS installation. Community was sensitized for proper maintenance and up keeping of the AWS. Based on the suggestion from the expert  at ideal locations, 12 MDCC has been established.      </t>
  </si>
  <si>
    <t>The expert group comprising of weather expert and agri experts for analysing the data collected through AWS and MDC and preparing the 5-days crop-weather advisories</t>
  </si>
  <si>
    <t xml:space="preserve">*  Weather Data  collection and analysing for generating weather and crop advisory at 5 days interval  </t>
  </si>
  <si>
    <t xml:space="preserve">Contract has been finalized with the climatologist for analysing data collected from AWS and MDCC and preparing the 5 days crop - weather advisory. One climate Resource Centre( CRC) Manager has been appointed and his capacity building has been ensured.  Proper coordination and a channel of regular communication  between CRC manager and climate expert groups has been taken care of. A group of expert of organic farming has been engaged in converting crop advisories from chemical intensive to climate friendly organic farming.     </t>
  </si>
  <si>
    <t xml:space="preserve"> *Establishment of one Climate Resource Centre                                                      * Establishment of 40 weather kiosks                                                                               </t>
  </si>
  <si>
    <t xml:space="preserve">To enhance  joint initiates in collaborative approach  in soil and water conservation measured  group based initiatives is being encouraged after formation of both male and female groups in villages under intervention. Regular village meeting with the community is taking place to enhance awareness on implication of soil and water conservation in the targeted villages. Video shows has been  organised to engage more and more number of people in this soil and water conservation initiatives. Village perception is being incorporated  with scientific approach for   constructing  different soil and water conservation  structures. To identify proper site for  construction of infiltration ditch GIS mapping  expert is also consulted. For ensuring sustainability of plantation initiatives  and fostering  social and cultural relationship,  joint approach has been adopted through promotion of  social forestry and CPR ( common property resources.) . Indigenous plants which is more drought tolerant in nature has been  sleeted. In plantation process, intercultural operation  has been promoted. Different water conservation techniques  has been introduced for enhancing  survival rate of plants during extremely water stress situations. The importance of  introduction of local variety plants for food, fodder, fuel  in climate change context has been given focused in steering committee meeting in presence of govt officials. Concerned Govt departments have shown their willingness to support in this initiatives.                               </t>
  </si>
  <si>
    <t>Multi level crop arrangements &amp; integrated farming practices are introduced which improve the total yield, reduce the need for external inputs &amp; seeds as well as improve labour efficiency mainly through popularizing a combination of drought &amp; heat tolerant field crops, fast growing &amp; multipurpose perennials and small livestock</t>
  </si>
  <si>
    <t>* Introduction of Integrated Farming system                                                               * Introduction of Multi level crop arrangement                                                                           * Introduction of small livestock's</t>
  </si>
  <si>
    <t xml:space="preserve">*Introduction of smoke less oven                                                                               * Introduction of biogas                                                                                            * Introduction of low cost water filter                                                               *Introduction of community based drinking water facility   </t>
  </si>
  <si>
    <t xml:space="preserve">An agreement was signed between National Bank for Agriculture and Rural Development (NABARD) and Development Research Communication and Services Centre (DRCSC ).                                                                                                                             * Recruitment of project manager was completed.                                                                                                               *The first project sanctioned by Adaptation Fund Board (AFB) in India was launched on 28 May 2015 at Chhatna block, in the district of Bankura , West Bengal.                                                                                                                                                *The inception workshop was inaugurated by Smt Monsoon, Hon’ble Member of Parliament, Bankura in the courtly presence of Shri R Amalorpavanathan, Dy Managing Director, NABARD, Smt T S Raji Gain, Chief General Manager, NABARD West Bengal RO and Shri Vijay Bharti, IAS, District Magistrate, Bankura and other senior dignitaries representing the Govt and local bodies.                                                                                                                                   * In this workshop, the project activities and project goal was presented for basic orientation of different stakeholders.                                                                                                                                 
*Project inception report produced.          </t>
  </si>
  <si>
    <t xml:space="preserve">* Completion of the Agreement with the expert Agency for conducting GIS mapping                                                                                                                      *  Engagement of the Expert Agency for conducting GIS mapping                          * Initiation of the assessment of various  issues related to GIS mapping process to develop land and water use master plan                                                                    * Orientation of the community people  regarding the project initiatives and  its desired goal                                                                                                              * Mobilization of the community to develop their ownership in the programme  </t>
  </si>
  <si>
    <t xml:space="preserve">* A contract has been signed with the Oceanography department of Jadavpur University to avail of their service in preparation of   GIS mapping.                                                                                                       
*Jadavpur university Oceanography Department has initiated the process of GIS mapping to facilitate the process of micro planning through GIS mapping to develop a comprehensive land and water use master plan.  In this process relevant Maps of each villages covering 5 panchayats are being prepared.                                                                                                                           * Orientation meeting at village level has been carried out in each villages to apprise the programme participants about the activities and desired goal of project.                                                                         
 * In each village, Participatory Rural Appraisal has been carried out to facilitate the programme participants to assess their present situations in different aspects based on various PRI tools.                                                                                 </t>
  </si>
  <si>
    <t xml:space="preserve">• For grain bank, Proposal has been collected   from different groups. 
• The final 3 groups have been selected after correlating with the food security chart. 
• In each village meetings have been done for listing the rules.
• Total 20 beneficiaries from Jagannathdi village and 26 from kashidi village got the support. DRCSC gave 20 Quintal paddy as support to the group of Jagannathdi namely Chandu Marshal Swanirbhar Mahila Dal and the beneficiaries contributed 10 quintal paddy as own contribution. In Kashidi Sagun Sohag Bagan Mahila Dal got 26 quintal of paddy as contribution from DRCSC and the beneficiaries contributed 3.12 quintal of paddy. In Bankura  Hetasura village support has been provided to one group of 10 members with 50 kg of paddy per family.
• As per contract, Member will repay the paddy with interest to group after harvesting.                                 * One fodder bank of 0.27 Hec areas has been identified by the villages at Hetasura village in Bankura district where fodder plantation will be carried out in coming rainy season.
</t>
  </si>
  <si>
    <t xml:space="preserve">Capacity building and skill development of project staff on Integrated farming system, multi tier cropping system, indigenous  traditional cropping practices  was undertaken. With enhanced knowledge and understanding of project staff on climate smart agriculture practices, process of awareness generation has been expedited  in project villages. 8 types of root and tuber crops, 3 types of millets, 9 types of indigenous varieties of paddy seeds  have  been introduced , many of them was lost over a period of time. The resilient  nature of local paddy and millets has been demonstrated in resource farmers fields and has been shared  in group meeting as well as  in district and state level steering committee meetings. The idea of introduction of climate resilient crops have been accepted by the concerned Govt. department and they have asked for seed support from DRCSC for further upscaling through trial in Govt run farms. To popularise small livestock's rearing  number of ruminants have been provided as support for diversification of livelihoods.  As small ruminants, rabbit has been introduced first time in the area and Govt retail shop started selling rabbit meat reared  by project beneficiaries. The positive results of drought and heat tolerant field crops have been shared at every level to influence thinking process of different stakeholders.      </t>
  </si>
  <si>
    <t xml:space="preserve">One dedicated website has been developed and regularly updated  with information of various events and advisory services.  Numbers of  awareness materials like brochures, note book, pamphlets, IEC materials  and flex has been published . In every awareness generation programme participation of the Govt. officials of different ranks has been ensured where different successful models have been demonstrated either live or through replication for further upscaling from different initiatives. .     </t>
  </si>
  <si>
    <t xml:space="preserve">In this context, community contribution are mitigating price fluctuation related  risk. Apart from that, convergence with the Govt. department for various inputs is also helping to beat price fluctuation risk. E.g. for plantation, in some cases, saplings has been received through Govt. linkages.  </t>
  </si>
  <si>
    <t xml:space="preserve">4.        Replication of the interventions in neighbouring villages along with the project area                                                                Govt. . Adopted the climate resilient  models in their policies </t>
  </si>
  <si>
    <t xml:space="preserve">Two   district level  steering committee has been formed in two districts  to monitor the work under  progress. During one such meeting in Bankura, district officials appreciated various  climate resilient techniques being advocated by DRCSC and District Magistrate showed interest to adopt some of the design in Govt. schemes on experimental basis  and asked for detail .  District officials have  also shown  interest to go for  trial  with some of the climate resilient crops, advocated by DRCSC  in their own farm.  </t>
  </si>
  <si>
    <t>Climate resilient livelihood strategies adopted by other Gram Panchayat and Blocks. The project  learning documents aligned to the SAPCC are advocated for adoption with relevant government department at both state and national level</t>
  </si>
  <si>
    <t xml:space="preserve">At least 5 audio visual publication, 7 types of awareness materials published for wider dissemination in the state. A web space created  for regular dissemination of project learnings. At least 6  types of awareness generation activities to address the communities in and around the project villages </t>
  </si>
  <si>
    <t>Type of Indicator (indicators towards Objectives, Outcomes, etc.…)</t>
  </si>
  <si>
    <t>At least 80% of target  5000  has ( 19096 persons)- 9427 female and 9669 male beneficiaries continues to practice at least one climate risk reductions  measure introduced through project interventions
 At least in  90% cases, the interventions planned are included in Village Development Plans</t>
  </si>
  <si>
    <t xml:space="preserve">LUP &amp;WUMP for the area is not available with the Panchayat or any other Govt. Dept. </t>
  </si>
  <si>
    <t xml:space="preserve">Climate resource centre at central location ( in Purulia district )  has been  established. 40 Kiosks are in place after completion of site selection and volunteers identification. Climate volunteers are disseminating information and also helping CRC managers to get proper feedback from the community.                                                                                      </t>
  </si>
  <si>
    <t>40 Grain Banks, 5 Seed Bank and 5 Fodder Banks are established .      The food/ fodder / input crisis and emergencies met up for at least 1500 has through these interventions</t>
  </si>
  <si>
    <t xml:space="preserve">No appropriate awareness materials available , especially in vernacular language. No website at present. Limited awareness generated through mainstreaming mass media e.g.. television, radio,etc. </t>
  </si>
  <si>
    <t xml:space="preserve">1. Due to one and half month monsoon rainfall plantation process got delayed. Though pit digging process was completed, plantation on major patch could not be completed as no significant  rainfall recorded after 15th August till the month of May .For the same reason agriculture process, fish cultivation was also hampered. Timely irrigation was ensured in some plantation patches and three types of micro irrigation techniques were introduced.                            
2. Finding suitable candidate for CRC manager after one resigned from his duty after working for three months took substantial time as well as finding suitable tribal candidate (as most of villages are tribal villages and  people from tribal community, mainly women  open up easily in their vernacular languages)  to work in purulia district as  Village Development Volunteer (VDV level) took substantial time.   </t>
  </si>
  <si>
    <t xml:space="preserve">No specific change during reporting period. Out of 40 villages, PRA in one village could not be completed due to political unrest as a result villagers could not sit together to assess their present situation. It is clear that work in this village under the CCA project could not be completed  and a request is placed in front of NABARD to select another village under intervention instead of the said village where villagers could not sit together after repeated effort by the village level workers of DRCSC. </t>
  </si>
  <si>
    <t>DRCSC as a policy start working with women members first and then include male members in every activity under project.  It has been noticed that it is easier to convince a women about any new agricultural technique and they finally take greater role to convince their male counterpart in the family . It has been noticed, during PRA women was giving quality time to map various resources and problems associated with livelihoods. For the reduction of women drudgery in the daily household chores , various new techniques like smokeless chullahs for women is being introduced. Process of construction of Bio gas has been initiated.</t>
  </si>
  <si>
    <t>Planned ( 1st year)</t>
  </si>
  <si>
    <t>Objective:</t>
  </si>
  <si>
    <t>To enhance adaptive capacity of climate vulnerable families in red lateritic zone of Purulia and Bankura districts of West Bengal</t>
  </si>
  <si>
    <t>Target</t>
  </si>
  <si>
    <t xml:space="preserve">Percentage of targeted population adopting risk reduction measures for livelihood and energy consumption  </t>
  </si>
  <si>
    <t>Less then 5 % of targeted  5000 households ( 250 HH) Practice climate risk reduction measures.</t>
  </si>
  <si>
    <t>Final Report</t>
  </si>
  <si>
    <t>Achievement ( 1st Year- May 2016 ) Amount ( INR)</t>
  </si>
  <si>
    <t>Numbers of  awareness materials like brochures, note book, pamphlets, IEC materials  and flex has been published . A dedicated website www. drcsc.org/CCA/index.html is in place where all project related information are regularly uploaded. 2 awareness generation  films are being prepared, 3 mass awareness events have been organized involving farmers, gardeners and also school students, two rallies were organized one with farmers and another with school students</t>
  </si>
  <si>
    <r>
      <t xml:space="preserve">13.6 hectare of fallow land has been brought under soil &amp; water conservation structures and work is going on in another 3 hectare of land. Total 20 hectare of land has been brought under vegetative cover through plantation. In this plantation process local varieties, which are more tolerant in this climatic condition have been introduced in plantation process under  social forestry, CPR (Common Property Resource) and horticulture plantation in the project areas.    </t>
    </r>
    <r>
      <rPr>
        <sz val="11"/>
        <color indexed="10"/>
        <rFont val="Times New Roman"/>
        <family val="1"/>
      </rPr>
      <t/>
    </r>
  </si>
  <si>
    <t xml:space="preserve"> * In every village, targeted families have been covered through formation of groups to encourage consolidated joint initiatives in the approach of the community.                                                                                                                                                                       * Farmers have been brought under farmers club and female members of the same family have been covered through gardeners groups so that both male and female involvement can be ensured.                                                                                                                                                               * Based on the expertise and long working experience in the area, the suitable area for soil and water conservation is pointed out. In this process, community members are also consulted and their perception is given due importance in the process of finalizing site selection.                                            
 *13.6 hectare of fallow land has been brought under soil water conservation structures.                                               *Work has been initiated in another 3 hectares of land.                                                                                                            *Under soil and water conservation measure WAT (water absorbing trenches) has been developed according to land shape.                                                                                                                                         
  * For plantation, suitable site selection was undertaken.                                                                             
  * In every plantation patch, written contract was accomplished between the land owner of the plantation patch and the group members with clearly mentioned terms and conditions.                            
* Three types of plantation was undertaken e.g. social forestry,  CPR ( Common Property Resource) and horticulture plantation                                                                                                                                            
  * In both CPR and social forestry local varieties, which are more tolerant in this climatic condition have been introduced.                                                                                                                                                                                        * Total 20 hectare of land has been brought under vegetative cover through plantation. Though due to late plantation and severe drought plantation process got hampered.                                                                                           * Total 36 micro irrigation structures have been completed and process has been initiated to start work in another 19 infiltration ditches.                                                                                                                           </t>
  </si>
  <si>
    <t xml:space="preserve">six  network meeting with local level NGOs have been organized . 5 district level steering committee meeting ( 3 in one district and 2 in other ) and one state level steering committee was organised . 2 district level experience sharing workshop was organised in district headquarter.    </t>
  </si>
  <si>
    <t>Expected Concrete Outputs</t>
  </si>
  <si>
    <t>Climate resilient appropriate technologies e.g. energy efficient cook stoves, bio-gas, low cost water filters, community based drinking water facility are promoted</t>
  </si>
  <si>
    <t xml:space="preserve">AMOUNT UTILIZED (USD) </t>
  </si>
  <si>
    <t>AMOUNT UTILIZED (INR)</t>
  </si>
  <si>
    <t>8 Nos.</t>
  </si>
  <si>
    <t xml:space="preserve">80% of target 5,000 households (4,000 HHs) continue to practice at least one climate risk reduction measure introduced through
project interventions
</t>
  </si>
  <si>
    <t xml:space="preserve">Numbers of sensitization meeting has been conducted at community level with screening of video shows  regarding climate change,  its impact with possible climate adaptive interventions . Total  170  groups ( Farmers groups with male members  as well as self help group with female members)  have been been formed at village level bringing  1917 HH directly  under project intervention. 
Regular meetings are being  organized with focused  discussion of climate change impact and possible adaptive interventions .  They are encouraged and motivated  to adopt various climate resilient techniques like , mixed cropping, use of different low cost technologies, organic farming , diversification of livelihood. </t>
  </si>
  <si>
    <t>Component(s)</t>
  </si>
  <si>
    <t>Outcome and Output</t>
  </si>
  <si>
    <t>Outcome 1: Communities
adopt land and water use
master plans with the help
of Panchayats through
better understanding of
climate change related
impacts</t>
  </si>
  <si>
    <t xml:space="preserve">A group of expert from  Oceanography department of  Jadavpur University, Kolkata has been assigned with  the task of GIS mapping of time series map and climate change analysis of 50 years of climate data and the work is under progress. To understand community perspective of climate change understanding, 39 Participatory Rural Appraisals ( PRAs) has been completed out of 40 villages.   </t>
  </si>
  <si>
    <t>Component 1: Land and Water use Master Plan</t>
  </si>
  <si>
    <t>Component 2: Reducing Climate Risk through timely and appropriate weather specific crop/Agro advisory services in local languages ( Bengali)</t>
  </si>
  <si>
    <t>Outcome 2
Farmers are better prepared
for climate resilient
agriculture and wastelands
development</t>
  </si>
  <si>
    <t>Output 2.1
Automated Weather
stations (AWS) at 6
locations (covering 10 sq.km
each), 12 manual data
collection centres (MDC) for
collection of weather
information</t>
  </si>
  <si>
    <t>Output 2.3
A Climate Resource Centre
located at the centre of the
project area and 40 weather
kiosks managed by climate
volunteers for collection
and dissemination of crop-</t>
  </si>
  <si>
    <t>AWS has been  installed  at 6 locations  and 12 MDCC for collection of weather information</t>
  </si>
  <si>
    <t xml:space="preserve">At present, CRC manager is collecting data from AWS  and sending to weather experts and they in consultation with reputed  3 agri universities are sending weather forecast and crop advisory in English language .CRC manager  in consultation with DRCSC expert team transform the agro advisory into organic mode and after translating into vernacular language. 5-6  weather advisories are generated per month               </t>
  </si>
  <si>
    <t xml:space="preserve">Number of households able to take informed decisions about  climate adaptive interventions
 Percentage of planned interventions included in Village Development Plans by Panchayat                        </t>
  </si>
  <si>
    <t xml:space="preserve"> LUP &amp; WUMP  for the targeted  GPs are in place</t>
  </si>
  <si>
    <t xml:space="preserve">Percentage of farms having ready access to and making use of crop weather advisory in local languages </t>
  </si>
  <si>
    <t>Number of  AWS and MDC are in place and operating effectively</t>
  </si>
  <si>
    <t>A committee comprising of 2-3 experts from agri universities and climate experts is formed
Number of crop - weather advisories prepared per month</t>
  </si>
  <si>
    <t>Climate Resource Centres and Weather Kiosks are in place . 
Number of crop advisory services disseminated. 
A feedback mechanism for verifying efficacy of the advisory is in place</t>
  </si>
  <si>
    <t>Component 3: Climate resilient technology transfer for enhancing the adaptive capacity of the community</t>
  </si>
  <si>
    <t xml:space="preserve">Number of beneficiaries , particularly women , with diversified livelihood                                                                            Number of farmers achieving higher level of sustainable productivity.                                                                           Status of community with improved food- fodder - fuel reserve as a drought proofing measures </t>
  </si>
  <si>
    <t>Most farm families under rain-fed -conditions highly exposed to climate change induced livelihood insecurity
Beneficiary farmers depend only on rain fed farming. 
Common properties resources are degrading fast                                  
Families face food -fodder - fuel crisis at least for 4 months in a year</t>
  </si>
  <si>
    <t>Through PRA process, in all villages community people tried to understand their present status in terms of natural resources , livelihood conditions and their vulnerability. Based on that after orientation of the programme of CCA , villagers have been brought under group so that their cohesiveness in thought and action get a new dimension. Through various input support they are being equipped with the weapon of low cost technology  that will not only enhance their productivity but also will reduce their drudgery. Many seeds which are highly climate resilient, are being introduced and practiced to reduce the risk of agri production. Instead of mono cropping, mixed cropping are being practiced to reduce risk. Livelihood are being diversified with introduction not so popular but highly risk tolerant  livestock's , mainly small ruminants.  Fodder plantation is planned for fodder bank and one place has been identified for that purpose</t>
  </si>
  <si>
    <t>Output 3.1
Sustainable soil and water
conservation measures (e.g.
semi-circular bunds, check
dams, gully plugs,
infiltration ditches and agro
forestry plantations) for
various ecosystems
introduced for improvement
of agricultural productivity
and environmental
sustainability</t>
  </si>
  <si>
    <t>Area brought  under soil water conservation structures  
Area under vegetative cover</t>
  </si>
  <si>
    <t>Low water retention capacity of the soil, fertile top soil erosion  
Large area lying fallow( seasonally or perennially)</t>
  </si>
  <si>
    <t>300 hectares of fallow land brought under soil- water conservation structures. 
More than 250 hectares of area brought under vegetative cover and protected ,  by live  fences, hedgerows, aerodynamic windows, boundary plantation and other agro forestry systems</t>
  </si>
  <si>
    <t>Output 3.2
Multilevel cropping systems
&amp; integrated farming
practices are introduced
mainly through popularizing
a combination of drought
tolerant field crops, fast
growing &amp; multipurpose
perennials and small
livestock</t>
  </si>
  <si>
    <t>Output 3.3
Disaster-coping mechanisms
like community grain banks,
local crop &amp; trees seed
banks, fodder banks,
developed in targeted
villages</t>
  </si>
  <si>
    <t>Output 3.4 Climate resilient
appropriate technologies
like energy efficient cook
stoves, bio-gas, low cost
water filters, community
based drinking water
facility, are promoted.</t>
  </si>
  <si>
    <t>All 5000 ( target households of population 22810 ( male 11548 &amp; female 11262) have developed climate resilient livelihood strategy to diversify their source of income.
 Whole farm productivity is increased by 30% for at least 60% beneficiary families i.e. 3000 has                       
Food - Fodder- Fuel reserve is ensured  for 100% targeted families         ( which include women population of 11262).</t>
  </si>
  <si>
    <t xml:space="preserve">  Hectares of land brought under cultivation 
Increased in cropping diversity &amp; intensity increase in cropping month and food availability 
 Increase in self supply of seeds </t>
  </si>
  <si>
    <t xml:space="preserve">Integrated farming system is practiced by 10 farmers in target area. 
 A very few target families have knowledge about sustainable agriculture techniques and practices </t>
  </si>
  <si>
    <t xml:space="preserve">For the promotion of cropping diversification and increase in cropping months  8 types of root and tuber crops, 3 types of millets, 9 types of indigenous varieties of paddy has been distributed among beneficiaries. 12 IFS (Integrated farming systems ) are  being established with detailed site analysis of the farm , with  support of various inputs such as vermi compost pits, different micro irrigation systems, bio gas etc. 
Seeds of local varieties are being promoted which can be preserved for future. Trainings  on seed production and  preservation are being conducted to make farmers independent in terms of seeds so that they can save their own seeds   and multiply through exchange among farms group and self help group members. Vermi pit is being constructed and production of vermi compost units will lessen their dependency on market in terms of input cost . </t>
  </si>
  <si>
    <t xml:space="preserve">400 hectares of single crop land turned into at least double cropped area. 
At least 4000 target families enjoy an increase in income from diversified sources. 
 Food and nutrition security is to be ensured for at least 80% beneficiaries (9009 female and 9238 male  beneficiaries round the year). 
At least 4,000 target families have reduced their dependency on market for the inputs for agriculture. </t>
  </si>
  <si>
    <t>Number of Grain banks/Seed Banks and Fodder Banks established 
Number of families able to meet up their food, fodder , input ( especially availability of seed) crisis in emergencies</t>
  </si>
  <si>
    <t>After formation of beneficiary groups at village level grain bank is being planned in groups. Till now three grain banks have been formed to meet up the crisis of food during crisis in emergencies. 
For fodder bank  one place has been identified and process of fodder plantation has been initiated in chanchanpur village  to meet up the demand of fodder for the livestock's during crisis period</t>
  </si>
  <si>
    <t xml:space="preserve"> No of target families using energy efficient cook stoves, biogas, low cost water harvesting , low cost water filter, community based drinking water facility
Number of community based facilities established
Number of target families accessing mainstream schemes for installation of climate adaptive structures</t>
  </si>
  <si>
    <t>At least 2400 no's of target families use energy efficient ovens, 250 biogas and 2500 low cost water filter ( 3200 female beneficiaries are directly impacted ). 
At least 5 community based drinking water facilities are established (At least  500  female beneficiary are directly impacted by this interventions in terms of reduced labour, time and drudgery). 
At least 5000 families ( 11262 female and 11548 male beneficiaries ) accessing mainstream schemes for installation of climate adaptive  structures</t>
  </si>
  <si>
    <t xml:space="preserve">450 no's of target families use energy efficient cook stoves . 100 families  have bio gas units 110 low cost water filters are in use . 
No of community based drinking water facility
 1000 no of target families access mainstream schemes for installation of climate adaptive structures </t>
  </si>
  <si>
    <t>Outcome 4
Various types of materials
on processes and
techniques are published
and measures taken to
upscale the interventions to
improve climate resilience
in the red and lateritic zone</t>
  </si>
  <si>
    <t>Outcome 3
Livelihoods have become
less vulnerable to climate
change and achieve higher
levels of productivity</t>
  </si>
  <si>
    <t>Output 4.1
Production of technical and financial data analysis on
processes to improve the
resilience of the livelihood
in red and lateritic zones of
West Bengal</t>
  </si>
  <si>
    <t>Output 4.2
Improved access to
learnings from the project
activities to be ensured
through short films,
dedicated website and
other printed materials</t>
  </si>
  <si>
    <t>Output 4.3
Advocacy with National /
State / Local Government
and others (NGOs, CBOs,
International organizations,
climate activists/experts) on
processes and practices
adopted under the project</t>
  </si>
  <si>
    <t>Project Components</t>
  </si>
  <si>
    <t xml:space="preserve">2.1 Automated Weather stations (AWS) at 6 locations (covering 10 sq.km each), 12 manual data collection centres (MDC) for collection of weather information                        
 2.2 The expert group comprising of weather expert and agri experts for analyzing the data collected through AWS and MDC and preparing the 5-days crop-weather advisories 
2.3 A Climate Resource Centre located at the centre of the project area and 40 weather kiosks managed by climate volunteers for collection and dissemination of crop-weather advisories </t>
  </si>
  <si>
    <t xml:space="preserve">         
Component 2: Reducing Climate Risk through timely and appropriate weather specific crop/Agro advisory services in local languages ( Bengali)</t>
  </si>
  <si>
    <t xml:space="preserve">3.1 Sustainable soil and water conservation measures (e.g. semi-circular bunds, check dams, gully plugs, infiltration ditches and agro forestry plantations) for various ecosystems introduced for improvement of agricultural productivity and environmental sustainability     
 3.2 Multilevel crop arrangements &amp; integrated farming practices are introduced which improve the total yield, reduce the need for external inputs &amp; seeds as well as improve labour efficiency mainly through popularizing a combination of drought &amp; heat tolerant field crops, fast growing &amp; multipurpose perennials and small livestock   
3.3 Disaster-coping mechanisms e.g. community grain banks, local crop &amp; trees seed banks, fodder banks developed in targeted villages       
 3.4 Climate resilient appropriate technologies e.g. energy efficient cook stoves, bio-gas, low cost water filters, community based drinking water facility are promoted.                                                 </t>
  </si>
  <si>
    <t xml:space="preserve">
Component 4: Learning and Knowledge Management</t>
  </si>
  <si>
    <t xml:space="preserve">
Component 3: Climate resilient technology transfer for enhancing the adaptive capacity of the community</t>
  </si>
  <si>
    <t xml:space="preserve">2.1 Automated Weather stations (AWS) at 6 locations (covering 10 sq.km each), 12 manual data collection centres (MDC) for collection of weather information                  </t>
  </si>
  <si>
    <t xml:space="preserve"> 2.2 The expert group comprising of weather expert and agri experts for analyzing the data collected through AWS and MDC and preparing the 5-days crop-weather advisories 
</t>
  </si>
  <si>
    <t xml:space="preserve">2.3 A Climate Resource Centre located at the centre of the project area and 40 weather kiosks managed by climate volunteers for collection and dissemination of crop-weather advisories </t>
  </si>
  <si>
    <t>3.1 Sustainable soil and water conservation measures (e.g. semi-circular bunds, check dams, gully plugs, infiltration ditches and agro forestry plantations) for various ecosystems introduced for improvement of agricultural productivity and environmental sustainability</t>
  </si>
  <si>
    <t>3.2 Multilevel crop arrangements &amp; integrated farming practices are introduced which improve the total yield, reduce the need for external inputs &amp; seeds as well as improve labour efficiency mainly through popularizing a combination of drought &amp; heat tolerant field crops, fast growing &amp; multipurpose perennials and small livestock</t>
  </si>
  <si>
    <t xml:space="preserve">4.1 Production of technical and financial data analysis on processes to improve the resilience of the livelihood in red and lateritic zones of West Bengal </t>
  </si>
  <si>
    <t>4.3 Advocacy with National / State / Local Government and others (NGOs, CBOs, International organisations, climate activists/experts) on processes to identify strategies to adapt to climate change in red and lateritic zone</t>
  </si>
  <si>
    <t xml:space="preserve">1.1 Five Gram Panchayat -wise Land and  Water use Master Plans are prepared </t>
  </si>
  <si>
    <t>28th May 2015 to 30th November 2016</t>
  </si>
  <si>
    <t>Estimated cumulative planned disbursement for the Year 1 (As per pg no. 110 of the DPR)</t>
  </si>
  <si>
    <t>4 Nos.</t>
  </si>
  <si>
    <t>General Service</t>
  </si>
  <si>
    <t>AV production team - DRCSC</t>
  </si>
  <si>
    <t>13.01.2016</t>
  </si>
  <si>
    <t>General  Services</t>
  </si>
  <si>
    <t>01.10.2015</t>
  </si>
  <si>
    <t>Kailash Chand Pandey (Climatologist)</t>
  </si>
  <si>
    <t>Consultancy Services</t>
  </si>
  <si>
    <t>28.05.2015</t>
  </si>
  <si>
    <t>Contract Value/Amount in USD</t>
  </si>
  <si>
    <t>Payment to Date in USD</t>
  </si>
  <si>
    <t>Remaining Balance in USD</t>
  </si>
  <si>
    <t>School of Oceanographic Studies, Jadavpur University, Kolkata</t>
  </si>
  <si>
    <t>NA. Please refer above mentioned details</t>
  </si>
  <si>
    <t>Over 2,500 USD (4 Nos)</t>
  </si>
  <si>
    <t>31.12.2015</t>
  </si>
  <si>
    <t xml:space="preserve">Mr Subhash Mahata for Capacity building training on 'sustainable Agriculture </t>
  </si>
  <si>
    <t>Mr Saptarshi Basu for SHG Hand Holding Training</t>
  </si>
  <si>
    <t xml:space="preserve">Ashamanjan Borman for
for Livestock health and Rearing training
 </t>
  </si>
  <si>
    <t xml:space="preserve">Mr Sanjay Das for NRM and Sustainable Agriculture </t>
  </si>
  <si>
    <t xml:space="preserve">12.06.2016 </t>
  </si>
  <si>
    <t xml:space="preserve">Pranab Kumar Mondal for Livestock Training  </t>
  </si>
  <si>
    <t xml:space="preserve">15.06.2016 </t>
  </si>
  <si>
    <t xml:space="preserve">Dr. P.K Mukhopadhyay for conducting Fishery  Training </t>
  </si>
  <si>
    <t xml:space="preserve">30.08.2016 </t>
  </si>
  <si>
    <t>Dinabandhu Mondal for the Aquaculture  Training</t>
  </si>
  <si>
    <t xml:space="preserve">Re-emerging World Consultancy Private Limited for Finalising Annual Report </t>
  </si>
  <si>
    <t>21.10.2016</t>
  </si>
  <si>
    <t>15.06.2016</t>
  </si>
  <si>
    <t>Under 2,500 USD (8 Nos)</t>
  </si>
  <si>
    <t xml:space="preserve">
NA</t>
  </si>
  <si>
    <t>Planned ( 1st year) in USD</t>
  </si>
  <si>
    <t xml:space="preserve">Planned ( 1st year) in INR </t>
  </si>
  <si>
    <t>Sujit Kr. Mitra, Principal Co-ordinator
Development Research Communication and Services Center</t>
  </si>
  <si>
    <t>Ravi S. Prasad, IAS (Joint Secretary)
Ministry of Environment, Forests &amp; Climate Change, Govt. of India</t>
  </si>
  <si>
    <t>Ms. T.S.Raji Gain (CGM)
National Bank for Agriculture and Rural Development</t>
  </si>
  <si>
    <t>tsr.gain@nabard.org</t>
  </si>
  <si>
    <t>Projected Cost for the Upcoming Reporting Period (USD)</t>
  </si>
  <si>
    <t>Financial Information From:  28th May 2015 to 30th Nov,16</t>
  </si>
  <si>
    <t>Total of the Component 3</t>
  </si>
  <si>
    <t>Total of the Component 4</t>
  </si>
  <si>
    <t>Total of the Component 5</t>
  </si>
  <si>
    <t>Enhancing Adaptive Capacity and Increasing Resilience of Small and Marginal farmers in Purulia and Bankura Districts of West Bengal.</t>
  </si>
  <si>
    <t>(Revised Date due to delay  in Project Implemenatation)</t>
  </si>
  <si>
    <t>Estimated cumulative total disbursement as of [30th November 2016]</t>
  </si>
  <si>
    <t>Five Gram Panchayat-wise Land and  Water use
 Master Plans are prepared</t>
  </si>
  <si>
    <r>
      <t xml:space="preserve">ACTUAL CO-FINANCING </t>
    </r>
    <r>
      <rPr>
        <i/>
        <sz val="12"/>
        <color indexed="8"/>
        <rFont val="Georgia"/>
        <family val="1"/>
      </rPr>
      <t xml:space="preserve">(If the MTR or TE have not been undertaken this reporting period, DO NOT report on actual co-financing.) </t>
    </r>
  </si>
  <si>
    <t>Achievement till May - 2016 (INR)</t>
  </si>
  <si>
    <t>Achievement till November - 2016 (INR)</t>
  </si>
  <si>
    <t>4.1 Production of technical and financial data analysis on processes to improve the resilience of the livelihood in red and lateritic zones of West Bengal           
4.2 Improved access to learnings from the project activities to be ensured through short films, dedicated website and other printed materials  
4.3 Advocacy with National / State / Local Government and others (NGOs, CBOs, International organisations, climate activists/experts) on processes to identify strategies to adapt to climate change in red and lateritic zone</t>
  </si>
  <si>
    <t>Achievement till November 30 , 2016</t>
  </si>
  <si>
    <t>4.2 Improved access to learnings from the project activities to be ensured through short films, dedicated website and other printed materials</t>
  </si>
  <si>
    <t>Jadavpur University  for Land and Water use Master Plan Preparation and Capacity building of the project staff.</t>
  </si>
  <si>
    <r>
      <t>*Village level meeting has been conducted in project villages for orientation of the villagers on significance of drought and heat tolerant varieties of crops in project area.                                                                                                                   *For each group, training has been organized on sustainable agriculture practices with focus on local varieties of crops.                                                                                                                                                                                                  * 8 types of root and tuber crops, 3 types of millets, 9 types of indigenous varieties</t>
    </r>
    <r>
      <rPr>
        <b/>
        <sz val="12"/>
        <rFont val="Georgia"/>
        <family val="1"/>
      </rPr>
      <t xml:space="preserve"> </t>
    </r>
    <r>
      <rPr>
        <sz val="12"/>
        <rFont val="Georgia"/>
        <family val="1"/>
      </rPr>
      <t xml:space="preserve">of paddy seeds have been distributed among beneficiaries.                                                                                                                                                    * It has been observed that the traditional paddy varieties have been able to provide yield whereas the hybrid varieties have failed miserably in extreme drought condition. This paddy field have been demonstrated to the nearby farmer groups  to make them realize about the importance of local variety paddy in climate change context.                                                                                                                                                                                                                                * Training has been provided to the targeted farming families on seed preservation techniques for seed preservation, exchange and multiplication to further up-scaling of the intervention.                                                                                                                                * 12 farms have been identified with scope of transforming them to integrated farm system                                                                 * Site analysis of these 12 IFS farms have been completed by expert with utmost involvement of the farmers.                                                                                                                                                            
*Based on the requirement inputs such as vermi compost pits, different micro irrigation systems, bio gas etc. are being introduced in the IFS farms.                                                                                                                                                 * 400 farming families have been identified for introduction of small ruminants. Among them process has been initiated to procure livestock for 382 families by assessing their need and 244 HHs have already received livestock supports.                                                                                                                                                                                            * Rabbit is being introduced in the area for the first time which has tremendous potential as livelihood activity.                                                                                                                      * Among other livestock,  Hen , Duck , Goat , Sheep, Pig, and small ruminants is being provided.                                                                                                                     </t>
    </r>
  </si>
  <si>
    <r>
      <t xml:space="preserve"> The project is the first ever project in India on climate change adaptation with involvement of NABARD as monitoring authority. It has successfully conducted its launching and inception workshop in May 2015 and very soon took all the key stakeholder and target communities on board. The project has also secured one district office and other field offices. The project has timely notified and convened two district level steering committee meeting on time. </t>
    </r>
    <r>
      <rPr>
        <sz val="12"/>
        <rFont val="Georgia"/>
        <family val="1"/>
      </rPr>
      <t>But due to assembly election the third steering committee meeting could not be organized on stipulated time.</t>
    </r>
    <r>
      <rPr>
        <sz val="12"/>
        <color rgb="FFC00000"/>
        <rFont val="Georgia"/>
        <family val="1"/>
      </rPr>
      <t xml:space="preserve"> </t>
    </r>
    <r>
      <rPr>
        <sz val="12"/>
        <color indexed="8"/>
        <rFont val="Georgia"/>
        <family val="1"/>
      </rPr>
      <t xml:space="preserve"> The project also faced some challenges at different stages, such as extreme heat wave slowed down the earth work for soil and water conservation. Extreme scarcity of water also hampered the process of farming activity. Due to West Bengal Assembly election, meeting with the community could not be conducted for a considerable time as a result progress slowed down at that phase. But after that , the project is now fully operational with all its staff, required procurements and normal implementation of the planned activities is in full swing  as per the agreed upon work plan.    </t>
    </r>
  </si>
  <si>
    <r>
      <rPr>
        <sz val="12"/>
        <color theme="7"/>
        <rFont val="Georgia"/>
        <family val="1"/>
      </rPr>
      <t xml:space="preserve">  </t>
    </r>
    <r>
      <rPr>
        <sz val="12"/>
        <rFont val="Georgia"/>
        <family val="1"/>
      </rPr>
      <t xml:space="preserve"> In the process of preparing  land and water use master plan, community engagement is very important and from the very beginning, this has been taken care of.  The activities of Organizing awareness generation  meeting at project villages  on importance of  developing  micro planning on a scientific platform has been given importance . PRI members were also engaged in this orientation process. To find out true picture of the villages in all dimensions of their social , economical , physical  and cultural life  number of tools have been used in PRA process. As per plan , Expert agency has been hired through signing proper contract  and number of meeting of stakeholders  in presence of  GIS expert was carried out. At regular intervals,  steering committee members both at district as well as state level has been apprised of the progress made in this direction.                    </t>
    </r>
    <r>
      <rPr>
        <sz val="12"/>
        <color theme="1"/>
        <rFont val="Georgia"/>
        <family val="1"/>
      </rPr>
      <t xml:space="preserve">                                                              </t>
    </r>
  </si>
  <si>
    <r>
      <t xml:space="preserve"> </t>
    </r>
    <r>
      <rPr>
        <sz val="12"/>
        <color theme="1"/>
        <rFont val="Georgia"/>
        <family val="1"/>
      </rPr>
      <t xml:space="preserve">As per advice of the climate expert locations of the CRC has been finalized and  equipped accordingly. Guidelines and steps for setting up climate Kiosk and selecting climate volunteers was finalized . Necessary instrument and equipment's for climate kiosk has been procured.  Volunteers  have been capacitated to disseminate information as per plan and they are now independently disseminating information and also collecting community feedback of crop and weather advisory. In one village  climate kiosk could not be set up due to political disturbance .   </t>
    </r>
    <r>
      <rPr>
        <sz val="12"/>
        <color theme="3"/>
        <rFont val="Georgia"/>
        <family val="1"/>
      </rPr>
      <t xml:space="preserve">           </t>
    </r>
  </si>
  <si>
    <r>
      <t xml:space="preserve">    </t>
    </r>
    <r>
      <rPr>
        <sz val="12"/>
        <color theme="1"/>
        <rFont val="Georgia"/>
        <family val="1"/>
      </rPr>
      <t xml:space="preserve"> As an effective disaster copping mechanism 3 grain bank has been introduced. The villages has been selected after correlating with food security chart. Area of one fodder bank has been identified  and agreement according to the process  has been completed , though plantation could no be initiated due to extreme drought situations.  </t>
    </r>
    <r>
      <rPr>
        <sz val="12"/>
        <color theme="4"/>
        <rFont val="Georgia"/>
        <family val="1"/>
      </rPr>
      <t xml:space="preserve"> </t>
    </r>
  </si>
  <si>
    <r>
      <t xml:space="preserve"> </t>
    </r>
    <r>
      <rPr>
        <sz val="12"/>
        <color theme="1"/>
        <rFont val="Georgia"/>
        <family val="1"/>
      </rPr>
      <t xml:space="preserve"> As proven climate resilient appropriate technologies-  smokeless oven, bio gas , low cost water filter  are being introduced. smoke less oven has been well accepted by the  programme participants and 341 units has been completed. There is equal enthusiasm among the community members regarding low cost water filter and bio gas plants. The impact of these climate resilient technique has been shared with the various stake holders and one of the Govt. organization has shown their eagerness to construct one smokeless oven in their centre. Apart from climatic context ,  with the scope of upscaling these models , employment opportunity for the rural youths is also increasing.   </t>
    </r>
    <r>
      <rPr>
        <sz val="12"/>
        <color theme="4"/>
        <rFont val="Georgia"/>
        <family val="1"/>
      </rPr>
      <t xml:space="preserve">              </t>
    </r>
  </si>
  <si>
    <r>
      <t xml:space="preserve">    This is the first adaptation funded project in India and despite substantial challenges at stages, the project has been been able to achieve considerably in its output delivery in its first year. The inception workshop was accomplished successfully and recruitment of staffs at all levels was completed on time.  Setting up of project operational procedures, development of institutional linkages, verification/upgradation of project documents,etc. resulted into the delay of the project implementation period. However, once the activities actually started, the project team exerted extraordinary efforts to expedite implementation and as a result, considerable achievements transpired since then. Community mobilization activities went very well, reaching some 1917  households  and generating a very positive sense of ownership and involvement among the different stakeholders. A good rapport with the community could be established and working approach in collective mode has been instrumental in fostering  social relationship. Through mobilization and relentless communication with targeted beneficiaries ,the importance of scientific micro planning  at panchayat level is being accepted by different stakeholders and interest expressed  from different quarters  in this aspect is  also encouraging. Positive trend has been observed in reducing climate risk through  utilising the weather forecast and agro advisory methods. Understanding and awareness of farmers about crop advisories and its relationship to weather has increased and more and more number of beneficiaries are showing their interest to receive weather forecast and plan their farming activities as per crop advisory. People outside project  area also showing their interest toward weather forecast and agro advisories. Though it has been observed that crop advisory  has been been accepted quiet faster by educated farmers  than those who were illiterate. In this aspect, dissemination of advisories in vernacular language  through  mobile  text messages also faced challenges as many of the mobiles were </t>
    </r>
    <r>
      <rPr>
        <u/>
        <sz val="12"/>
        <rFont val="Georgia"/>
        <family val="1"/>
      </rPr>
      <t>made in china which fails to support Bengali  vernacular text font.</t>
    </r>
    <r>
      <rPr>
        <sz val="12"/>
        <rFont val="Georgia"/>
        <family val="1"/>
      </rPr>
      <t xml:space="preserve"> Soil and water conservation work has been initiated with construction of various relevant structures according to the  suitability of the place. Different low cost water conservation techniques  have been introduced . Some of the techniques, have been successful to utilize waste material converting hazardous substances to possibilities. Though due to extreme heat wave, earth work initiatives in soil water conservation methods slowed down as regular work under scorching heat was not possible. Capacity building of the beneficiaries has been ensured through group based training to improve management skill and better understanding of adaptive measures in natural resource management. The project successfully introduced number of root and tuber crops , indigenous seeds  and improved agricultural practices that helped farmers  to cut down on resource usage and  reduce losses in cases of extreme events. Visible  results witnessed in the demonstration fields  enticed farmers to replicate in the upcoming seasons. Community reserves for lean periods increased though introduction of three grain bank. A good number of women have adopted smoke less oven at their practices reducing  drudgery as well as  promising better working atmosphere. Awareness generation events were carried out successfully to disseminate information on climate resilient best practices through different model and IEC materials. It was also noticed that senior officials both from NABARD as well as  government  department talked positively about the project in several instances. Overall, it can be concluded that the project is doing very well, is evidently visible and already achieving tangible results.                         </t>
    </r>
  </si>
  <si>
    <r>
      <t>Project actions/activities planned for current reporting period are progressing on track or exceeding expectations to achieve A</t>
    </r>
    <r>
      <rPr>
        <b/>
        <sz val="12"/>
        <rFont val="Georgia"/>
        <family val="1"/>
      </rPr>
      <t>ll</t>
    </r>
    <r>
      <rPr>
        <sz val="12"/>
        <rFont val="Georgia"/>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</si>
  <si>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2"/>
        <rFont val="Georgia"/>
        <family val="1"/>
      </rPr>
      <t>most</t>
    </r>
    <r>
      <rPr>
        <sz val="12"/>
        <rFont val="Georgia"/>
        <family val="1"/>
      </rPr>
      <t xml:space="preserve"> of its major outcomes/outputs with only minor shortcomings.</t>
    </r>
  </si>
  <si>
    <r>
      <t xml:space="preserve">Project actions/activities planned for current reporting period  are progressing on track to achieve </t>
    </r>
    <r>
      <rPr>
        <b/>
        <sz val="12"/>
        <rFont val="Georgia"/>
        <family val="1"/>
      </rPr>
      <t>most</t>
    </r>
    <r>
      <rPr>
        <sz val="12"/>
        <rFont val="Georgia"/>
        <family val="1"/>
      </rPr>
      <t xml:space="preserve">   major relevant outcomes/outputs, </t>
    </r>
    <r>
      <rPr>
        <b/>
        <sz val="12"/>
        <rFont val="Georgia"/>
        <family val="1"/>
      </rPr>
      <t>but</t>
    </r>
    <r>
      <rPr>
        <sz val="12"/>
        <rFont val="Georgia"/>
        <family val="1"/>
      </rPr>
      <t xml:space="preserve"> with either significant shortcomings or modest overall relevance. </t>
    </r>
  </si>
  <si>
    <r>
      <t xml:space="preserve">Project actions/activities planned for current reporting period  are </t>
    </r>
    <r>
      <rPr>
        <b/>
        <sz val="12"/>
        <rFont val="Georgia"/>
        <family val="1"/>
      </rPr>
      <t>not</t>
    </r>
    <r>
      <rPr>
        <sz val="12"/>
        <rFont val="Georgia"/>
        <family val="1"/>
      </rPr>
      <t xml:space="preserve"> progressing on track to achieve  major outcomes/outputs with </t>
    </r>
    <r>
      <rPr>
        <b/>
        <sz val="12"/>
        <rFont val="Georgia"/>
        <family val="1"/>
      </rPr>
      <t>major shortcomings</t>
    </r>
    <r>
      <rPr>
        <sz val="12"/>
        <rFont val="Georgia"/>
        <family val="1"/>
      </rPr>
      <t xml:space="preserve"> or is expected to achieve only some of its major outcomes/outputs.</t>
    </r>
  </si>
  <si>
    <r>
      <t xml:space="preserve">Project actions/activities planned for current reporting period  are </t>
    </r>
    <r>
      <rPr>
        <b/>
        <sz val="12"/>
        <rFont val="Georgia"/>
        <family val="1"/>
      </rPr>
      <t>not</t>
    </r>
    <r>
      <rPr>
        <sz val="12"/>
        <rFont val="Georgia"/>
        <family val="1"/>
      </rPr>
      <t xml:space="preserve"> progressing on track to achieve most of its major outcomes/outputs.</t>
    </r>
  </si>
  <si>
    <r>
      <t xml:space="preserve">Project actions/activities planned for current reporting period  are </t>
    </r>
    <r>
      <rPr>
        <b/>
        <sz val="12"/>
        <rFont val="Georgia"/>
        <family val="1"/>
      </rPr>
      <t>not</t>
    </r>
    <r>
      <rPr>
        <sz val="12"/>
        <rFont val="Georgia"/>
        <family val="1"/>
      </rPr>
      <t xml:space="preserve"> on track and shows that it is </t>
    </r>
    <r>
      <rPr>
        <b/>
        <sz val="12"/>
        <rFont val="Georgia"/>
        <family val="1"/>
      </rPr>
      <t>failing</t>
    </r>
    <r>
      <rPr>
        <sz val="12"/>
        <rFont val="Georgia"/>
        <family val="1"/>
      </rPr>
      <t xml:space="preserve"> to achieve, and is not expected to achieve, any of its outcomes/outputs.</t>
    </r>
  </si>
  <si>
    <r>
      <rPr>
        <b/>
        <sz val="11"/>
        <rFont val="Georgia"/>
        <family val="1"/>
      </rPr>
      <t>Medium</t>
    </r>
    <r>
      <rPr>
        <sz val="11"/>
        <rFont val="Georgia"/>
        <family val="1"/>
      </rPr>
      <t xml:space="preserve">
Various meeting has been conducted with the Government line departments on various aspects of climate resilient model to promote agriculture diversification and augment rural income.  Positive change is being observed in the mind set of some of the targeted beneficiaries with respect to the importance and acceptability of various interventions, viz., weather-based information, new technologies available, extension services and market price alerts, etc. as risk mitigation measures. </t>
    </r>
  </si>
  <si>
    <r>
      <t xml:space="preserve">Various district level steering committee meetings and one state level steering committee meetings has been organized so far. In it, various positive aspects of climate adaptive intervention  has been discussed  to influence policy at all levels. Some of the model and practice has been able to generate interest among the Govt. officials as well as PRI members. This has helped to prioritize, sustain and upscale support for climate adaptive interventions in their strategies and plans.
</t>
    </r>
    <r>
      <rPr>
        <b/>
        <sz val="11"/>
        <rFont val="Georgia"/>
        <family val="1"/>
      </rPr>
      <t xml:space="preserve">Existing Govt. Programme: </t>
    </r>
    <r>
      <rPr>
        <sz val="11"/>
        <rFont val="Georgia"/>
        <family val="1"/>
      </rPr>
      <t xml:space="preserve">The project activities are aligned with the interventions suggested in the West Bengal State Action Plan for promoting crop diversification, productive utilization of waste land, use of quality seeds &amp; seed bank development ,vermi composting, smoke less chullahs, agro advisories to farmers, etc. West Bengal Accelerated Development of Minor Irrigation Project aims to enhance agricultural production of small and marginal farmers.
</t>
    </r>
    <r>
      <rPr>
        <b/>
        <sz val="11"/>
        <rFont val="Georgia"/>
        <family val="1"/>
      </rPr>
      <t xml:space="preserve">Web links: </t>
    </r>
    <r>
      <rPr>
        <sz val="11"/>
        <rFont val="Georgia"/>
        <family val="1"/>
      </rPr>
      <t xml:space="preserve">http://www.moef.nic.in/sites/default/files/sapcc/West-Bengal.pdf 
http://103.16.143.46/internal/IndexWBADMIP.aspx
At National level, project activities are aligned with National Mission for Sustainable agriculture and Climate Change Agriculture Policy: Vision 2020 for promoting sustainable agricultural development and poverty alleviation in India. 
</t>
    </r>
    <r>
      <rPr>
        <b/>
        <sz val="11"/>
        <rFont val="Georgia"/>
        <family val="1"/>
      </rPr>
      <t>Web links:</t>
    </r>
    <r>
      <rPr>
        <sz val="11"/>
        <rFont val="Georgia"/>
        <family val="1"/>
      </rPr>
      <t xml:space="preserve"> http://www.planningcommission.nic.in/reports/genrep/bkpap2020/24_bg2020.pdf</t>
    </r>
    <r>
      <rPr>
        <b/>
        <sz val="11"/>
        <rFont val="Georgia"/>
        <family val="1"/>
      </rPr>
      <t xml:space="preserve">
</t>
    </r>
  </si>
  <si>
    <r>
      <rPr>
        <b/>
        <sz val="11"/>
        <rFont val="Georgia"/>
        <family val="1"/>
      </rPr>
      <t>Medium</t>
    </r>
    <r>
      <rPr>
        <sz val="11"/>
        <rFont val="Georgia"/>
        <family val="1"/>
      </rPr>
      <t xml:space="preserve">
Couple of government officials changed in last one year, but that did not make much adverse impact on the project implementation. Very good rapport has been established with the block and district level officials as well as PRI members through frequent meeting and ensuring their presence in different awareness generation programme. As a consequence, when an official is changed, fresh inducted personnel gets orientation of the project as well as the progress without any delay.   </t>
    </r>
  </si>
  <si>
    <r>
      <rPr>
        <b/>
        <sz val="11"/>
        <rFont val="Georgia"/>
        <family val="1"/>
      </rPr>
      <t>Low</t>
    </r>
    <r>
      <rPr>
        <sz val="11"/>
        <rFont val="Georgia"/>
        <family val="1"/>
      </rPr>
      <t xml:space="preserve">
At initial stage literate farmers were showing more interest to avail crop advisory services and were applying those at their own advantage. But gradually, more and more number of illiterate farmer are showing their interest to use crop advisories. Advisories are issued in a simple way and in local vernacular language  for better understanding of the farmers.</t>
    </r>
  </si>
  <si>
    <r>
      <rPr>
        <b/>
        <sz val="11"/>
        <rFont val="Georgia"/>
        <family val="1"/>
      </rPr>
      <t>Low</t>
    </r>
    <r>
      <rPr>
        <sz val="11"/>
        <rFont val="Georgia"/>
        <family val="1"/>
      </rPr>
      <t xml:space="preserve">
This is  just the earlier stages where volunteers are taking the responsibility to disseminate information  after establishment of climate kiosk and imparting training to the volunteers. Though there are some instance when climate volunteers could not disseminate information due to absenteeism, but as in a village apart from one volunteers, some other interested youth have also been given training on the activities  of climate volunteers. The information dissemination work is not blocked.</t>
    </r>
  </si>
  <si>
    <r>
      <rPr>
        <b/>
        <sz val="11"/>
        <rFont val="Georgia"/>
        <family val="1"/>
      </rPr>
      <t>Low</t>
    </r>
    <r>
      <rPr>
        <sz val="11"/>
        <rFont val="Georgia"/>
        <family val="1"/>
      </rPr>
      <t xml:space="preserve">
Migration is still taking place from villages due to lack of job opportunity for the rural folks. But in villages where earthwork has been initiated, due to generation of employment opportunities, many did not leave their villages in search of income elsewhere. </t>
    </r>
  </si>
  <si>
    <r>
      <rPr>
        <b/>
        <sz val="11"/>
        <rFont val="Georgia"/>
        <family val="1"/>
      </rPr>
      <t>Medium</t>
    </r>
    <r>
      <rPr>
        <sz val="11"/>
        <rFont val="Georgia"/>
        <family val="1"/>
      </rPr>
      <t xml:space="preserve">
Definitely price has increased for many components from the time proposal was prepared. Most significantly, labour price has increased substantially and sometimes it is posing a problem to complete a planned activity on time.  </t>
    </r>
  </si>
  <si>
    <r>
      <rPr>
        <b/>
        <sz val="12"/>
        <rFont val="Georgia"/>
        <family val="1"/>
      </rPr>
      <t>Medium</t>
    </r>
    <r>
      <rPr>
        <sz val="11"/>
        <rFont val="Georgia"/>
        <family val="1"/>
      </rPr>
      <t xml:space="preserve">
Definitely there are some gaps at planning process in micro and macro level in existing system. But under the project initiatives, all intervention are planned involving community participatory methods. In many cases, PRI members have been invited in this planning process to make them understand about the importance of bottom up approach.   </t>
    </r>
  </si>
  <si>
    <r>
      <rPr>
        <b/>
        <sz val="11"/>
        <rFont val="Georgia"/>
        <family val="1"/>
      </rPr>
      <t>Low</t>
    </r>
    <r>
      <rPr>
        <sz val="11"/>
        <rFont val="Georgia"/>
        <family val="1"/>
      </rPr>
      <t xml:space="preserve">
Traditionally, policy makers and politicians prioritize economic benefits  over sustainable resilient economy. But the adverse impact of unsustainable development is already visible in agriculture field and policy makers have started showing their interest to prioritize resilient ecosystems, though in very small number, such as promotion of organic farming.         </t>
    </r>
  </si>
  <si>
    <r>
      <rPr>
        <b/>
        <sz val="11"/>
        <rFont val="Georgia"/>
        <family val="1"/>
      </rPr>
      <t>Low</t>
    </r>
    <r>
      <rPr>
        <sz val="11"/>
        <rFont val="Georgia"/>
        <family val="1"/>
      </rPr>
      <t xml:space="preserve">
There are various schemes of Govt. in the project for financial and marketing support for alternative food and livelihood opportunities. Liaison are made with regular development programme. </t>
    </r>
  </si>
  <si>
    <r>
      <rPr>
        <b/>
        <sz val="12"/>
        <rFont val="Georgia"/>
        <family val="1"/>
      </rPr>
      <t>Low</t>
    </r>
    <r>
      <rPr>
        <sz val="11"/>
        <rFont val="Georgia"/>
        <family val="1"/>
      </rPr>
      <t xml:space="preserve">
Groups have  been formed keeping in mind the homogeneity of the beneficiaries</t>
    </r>
  </si>
  <si>
    <r>
      <rPr>
        <b/>
        <sz val="11"/>
        <rFont val="Georgia"/>
        <family val="1"/>
      </rPr>
      <t>Low</t>
    </r>
    <r>
      <rPr>
        <sz val="11"/>
        <rFont val="Georgia"/>
        <family val="1"/>
      </rPr>
      <t xml:space="preserve">
As Climate Change and potential impact are focus point of the discussions with participating local communities, awareness is increasing gradually</t>
    </r>
  </si>
  <si>
    <r>
      <rPr>
        <sz val="11"/>
        <rFont val="Georgia"/>
        <family val="1"/>
      </rPr>
      <t xml:space="preserve">In future, the meetings would be planned keeping in view the dates of the assembly elections and its related code of conduct requirements.  </t>
    </r>
    <r>
      <rPr>
        <sz val="11"/>
        <color rgb="FFFF0000"/>
        <rFont val="Georgia"/>
        <family val="1"/>
      </rPr>
      <t xml:space="preserve"> 
</t>
    </r>
    <r>
      <rPr>
        <sz val="11"/>
        <rFont val="Georgia"/>
        <family val="1"/>
      </rPr>
      <t xml:space="preserve">The new and informed arrangement would facilitate free participation of the project stakeholders in the days other than those having restrictions. </t>
    </r>
  </si>
  <si>
    <r>
      <rPr>
        <b/>
        <sz val="11"/>
        <rFont val="Georgia"/>
        <family val="1"/>
      </rPr>
      <t>Additional Note</t>
    </r>
    <r>
      <rPr>
        <sz val="11"/>
        <rFont val="Georgia"/>
        <family val="1"/>
      </rPr>
      <t xml:space="preserve">
Jadavpur University, School of Oceanographic Studies is the sole organization known to the Implementing Organization ,which is capable of providing consultancy services on GIS mapping related activities. The organization has successful track record of conducting such type of activates in Sundarbans delta region. Based on that, Jadavpur University has been engaged as partner since project formulation stage. In project proposal , page number 41, Activity 1:1:1 (GIS Mapping) it has been clearly mentioned that  for conducting Geo - Informatics Appraisal School Of Oceanographic Studies , Jadavpur University, has agreed to provide technical support to the project. 
Mr Kailash Chand Pandey, climatologist  works with close contact of Gorakhpur Environmental Action Group (GEAG), an environmental action group quite successfully working on weather forecasting and crop advisory issues in north and eastern India. As no other organization or  individual is known to the implementing agency,  that  provide such types of services, with the objective of replication of  GEAG model in project area, expert from GEAG was contacted. Mr Kailash Chand Pandey, Climatologist, has been involved with the implementing agency ,as a partner,  since project formulation stage, and  conducted trial on effectiveness on  area specific Automatic Weather Station (AWS) and weather forecast much before the project got sanctioned by AFB. </t>
    </r>
  </si>
  <si>
    <t>Output 1.1: Five Gram Panchayat -wise Land and Water use Master Plans are prepared</t>
  </si>
  <si>
    <t>Output 2.2
The expert group
comprising of weather
expert and agri experts
analyzes the data collected
through AWS and MDC and
prepares the 5-days crop weather
advisories</t>
  </si>
  <si>
    <r>
      <t xml:space="preserve"> </t>
    </r>
    <r>
      <rPr>
        <sz val="11"/>
        <rFont val="Georgia"/>
        <family val="1"/>
      </rPr>
      <t xml:space="preserve">361 smoke less ovens are being built, work is going on in 23 bio gas plants. 324  households have been identified and order has been placed for procuring water filter for those selected families. 
Community mobilization has been done for establishing community based drinking water system, several meetings have been conducted at village level in two villages to realise awareness regarding developing collective approach in water uses and its proper  maintenance for sustainability. Two villages have been identified and engineers visited two sites to assess suitability. The process is ongoing.   
Government linking of many families for construction of Bio-gas units has been done under installation of climate adaptive structures. </t>
    </r>
    <r>
      <rPr>
        <b/>
        <sz val="11"/>
        <color rgb="FFFF0000"/>
        <rFont val="Georgia"/>
        <family val="1"/>
      </rPr>
      <t xml:space="preserve">                                                            </t>
    </r>
  </si>
  <si>
    <r>
      <t xml:space="preserve">1.Setting up of operational procedure, development of institutional linkages, verification/upgradation of project documents,etc. resulted into the delay of the project fund disbursement.   </t>
    </r>
    <r>
      <rPr>
        <b/>
        <sz val="12"/>
        <color rgb="FFFF0000"/>
        <rFont val="Georgia"/>
        <family val="1"/>
      </rPr>
      <t xml:space="preserve"> </t>
    </r>
    <r>
      <rPr>
        <sz val="12"/>
        <rFont val="Georgia"/>
        <family val="1"/>
      </rPr>
      <t xml:space="preserve">2 . Severe draught situation hampered agriculture production as well as other related livelihood options like fisheries. The drought also hampered the  construction of  different structures  like bio gas  units which demanded good amount of  water. 3. The election process of West Bengal assembly took almost 3- 4 months and during that time liaison  with block and other Govt and PRI institutions could not happen. 4. During assembly election, organizing  village meeting  as well as group meeting could not happen due to code of conduct of the election process.   </t>
    </r>
  </si>
  <si>
    <r>
      <t xml:space="preserve">Please complete the following section at </t>
    </r>
    <r>
      <rPr>
        <b/>
        <i/>
        <sz val="12"/>
        <color indexed="8"/>
        <rFont val="Georgia"/>
        <family val="1"/>
      </rPr>
      <t xml:space="preserve">mid-term </t>
    </r>
    <r>
      <rPr>
        <i/>
        <sz val="12"/>
        <color indexed="8"/>
        <rFont val="Georgia"/>
        <family val="1"/>
      </rPr>
      <t>and</t>
    </r>
    <r>
      <rPr>
        <b/>
        <i/>
        <sz val="12"/>
        <color indexed="8"/>
        <rFont val="Georgia"/>
        <family val="1"/>
      </rPr>
      <t xml:space="preserve"> project completion</t>
    </r>
  </si>
  <si>
    <r>
      <rPr>
        <b/>
        <sz val="12"/>
        <color indexed="8"/>
        <rFont val="Georgia"/>
        <family val="1"/>
      </rPr>
      <t xml:space="preserve">Goal: </t>
    </r>
    <r>
      <rPr>
        <sz val="12"/>
        <color indexed="8"/>
        <rFont val="Georgia"/>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Georgia"/>
        <family val="1"/>
      </rPr>
      <t xml:space="preserve">Impact: </t>
    </r>
    <r>
      <rPr>
        <sz val="12"/>
        <color indexed="8"/>
        <rFont val="Georgia"/>
        <family val="1"/>
      </rPr>
      <t xml:space="preserve">Increased resiliency at the community, national, and regional levels to climate variability and change. </t>
    </r>
  </si>
  <si>
    <r>
      <rPr>
        <b/>
        <sz val="12"/>
        <color indexed="8"/>
        <rFont val="Georgia"/>
        <family val="1"/>
      </rPr>
      <t>Important:</t>
    </r>
    <r>
      <rPr>
        <sz val="12"/>
        <color indexed="8"/>
        <rFont val="Georgia"/>
        <family val="1"/>
      </rPr>
      <t xml:space="preserve"> Please read the following guidance document (also posted on the Adaptation Fund website) before entering your data </t>
    </r>
  </si>
  <si>
    <r>
      <rPr>
        <b/>
        <u/>
        <sz val="12"/>
        <color theme="1"/>
        <rFont val="Georgia"/>
        <family val="1"/>
      </rPr>
      <t>Core Indicator</t>
    </r>
    <r>
      <rPr>
        <sz val="12"/>
        <color theme="1"/>
        <rFont val="Georgia"/>
        <family val="1"/>
      </rPr>
      <t>: No. of beneficiaries</t>
    </r>
  </si>
  <si>
    <r>
      <rPr>
        <b/>
        <u/>
        <sz val="12"/>
        <color theme="1"/>
        <rFont val="Georgia"/>
        <family val="1"/>
      </rPr>
      <t>Core Indicator</t>
    </r>
    <r>
      <rPr>
        <sz val="12"/>
        <color theme="1"/>
        <rFont val="Georgia"/>
        <family val="1"/>
      </rPr>
      <t xml:space="preserve"> 1.2: No. of Early Warning Systems</t>
    </r>
  </si>
  <si>
    <r>
      <rPr>
        <b/>
        <u/>
        <sz val="12"/>
        <color theme="1"/>
        <rFont val="Georgia"/>
        <family val="1"/>
      </rPr>
      <t>Core Indicator</t>
    </r>
    <r>
      <rPr>
        <sz val="12"/>
        <color theme="1"/>
        <rFont val="Georgia"/>
        <family val="1"/>
      </rPr>
      <t xml:space="preserve"> 4.2: Assets produced, developed, improved or strengthened</t>
    </r>
  </si>
  <si>
    <r>
      <rPr>
        <b/>
        <u/>
        <sz val="12"/>
        <color theme="1"/>
        <rFont val="Georgia"/>
        <family val="1"/>
      </rPr>
      <t>Core Indicator</t>
    </r>
    <r>
      <rPr>
        <sz val="12"/>
        <color theme="1"/>
        <rFont val="Georgia"/>
        <family val="1"/>
      </rPr>
      <t xml:space="preserve"> 5.1: Natural Assets protected or rehabilitated</t>
    </r>
  </si>
  <si>
    <r>
      <rPr>
        <b/>
        <u/>
        <sz val="12"/>
        <color theme="1"/>
        <rFont val="Georgia"/>
        <family val="1"/>
      </rPr>
      <t>Core Indicator</t>
    </r>
    <r>
      <rPr>
        <sz val="12"/>
        <color theme="1"/>
        <rFont val="Georgia"/>
        <family val="1"/>
      </rPr>
      <t xml:space="preserve"> 6.1.2: Increased income, or avoided decrease in income</t>
    </r>
  </si>
  <si>
    <r>
      <t xml:space="preserve">Number of households </t>
    </r>
    <r>
      <rPr>
        <i/>
        <sz val="12"/>
        <color theme="1"/>
        <rFont val="Georgia"/>
        <family val="1"/>
      </rPr>
      <t>(total number in the project area)</t>
    </r>
  </si>
  <si>
    <r>
      <t xml:space="preserve">1: Health and Social Infrastructure </t>
    </r>
    <r>
      <rPr>
        <i/>
        <sz val="12"/>
        <color theme="1"/>
        <rFont val="Georgia"/>
        <family val="1"/>
      </rPr>
      <t>(developed/improved)</t>
    </r>
  </si>
  <si>
    <t>3: Risk and vulnerability assessments completed or updated</t>
  </si>
  <si>
    <t>Outcome 3: Strengthened awareness and ownership of adaptation and climate risk reduction processes</t>
  </si>
  <si>
    <t>2: Physical asset (produced/improved/strengthened)</t>
  </si>
  <si>
    <t>Output 5: Vulnerable ecosystem services and natural resource assets strengthened in response to climate change impacts, including variability</t>
  </si>
  <si>
    <t>fry</t>
  </si>
  <si>
    <t>Defence policy</t>
  </si>
  <si>
    <t>increased adaptive capacity</t>
  </si>
  <si>
    <r>
      <t xml:space="preserve">2: Physical asset </t>
    </r>
    <r>
      <rPr>
        <i/>
        <sz val="12"/>
        <color theme="1"/>
        <rFont val="Georgia"/>
        <family val="1"/>
      </rPr>
      <t>(produced/improved/strengthened)</t>
    </r>
  </si>
  <si>
    <r>
      <rPr>
        <b/>
        <sz val="14"/>
        <color theme="1"/>
        <rFont val="Georgia"/>
        <family val="1"/>
      </rPr>
      <t xml:space="preserve">Expected Concrete Outputs </t>
    </r>
    <r>
      <rPr>
        <b/>
        <sz val="12"/>
        <color theme="1"/>
        <rFont val="Georgia"/>
        <family val="1"/>
      </rPr>
      <t xml:space="preserve">
</t>
    </r>
    <r>
      <rPr>
        <b/>
        <i/>
        <sz val="14"/>
        <color rgb="FF00B050"/>
        <rFont val="Georgia"/>
        <family val="1"/>
      </rPr>
      <t xml:space="preserve">(Details of the expenditure at the output level is given below in the planned expenditure scheduled) </t>
    </r>
  </si>
  <si>
    <r>
      <rPr>
        <b/>
        <sz val="12"/>
        <color indexed="8"/>
        <rFont val="Microsoft Sans Serif"/>
        <family val="2"/>
      </rPr>
      <t xml:space="preserve">1. </t>
    </r>
    <r>
      <rPr>
        <sz val="12"/>
        <color indexed="8"/>
        <rFont val="Microsoft Sans Serif"/>
        <family val="2"/>
      </rPr>
      <t xml:space="preserve">Generation of relevant data, Stakeholders, and Timeliness 
</t>
    </r>
    <r>
      <rPr>
        <b/>
        <sz val="12"/>
        <color indexed="8"/>
        <rFont val="Microsoft Sans Serif"/>
        <family val="2"/>
      </rPr>
      <t>2.1.</t>
    </r>
    <r>
      <rPr>
        <sz val="12"/>
        <color indexed="8"/>
        <rFont val="Microsoft Sans Serif"/>
        <family val="2"/>
      </rPr>
      <t xml:space="preserve"> Include both qualitative and quantitative measures of capacity level within targeted institutions
</t>
    </r>
    <r>
      <rPr>
        <b/>
        <sz val="12"/>
        <color indexed="8"/>
        <rFont val="Microsoft Sans Serif"/>
        <family val="2"/>
      </rPr>
      <t xml:space="preserve">2.2. </t>
    </r>
    <r>
      <rPr>
        <sz val="12"/>
        <color indexed="8"/>
        <rFont val="Microsoft Sans Serif"/>
        <family val="2"/>
      </rPr>
      <t xml:space="preserve">Number (men and women and other vulnerable groups)
</t>
    </r>
    <r>
      <rPr>
        <b/>
        <sz val="12"/>
        <color indexed="8"/>
        <rFont val="Microsoft Sans Serif"/>
        <family val="2"/>
      </rPr>
      <t>3.1.</t>
    </r>
    <r>
      <rPr>
        <sz val="12"/>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2"/>
        <color indexed="8"/>
        <rFont val="Microsoft Sans Serif"/>
        <family val="2"/>
      </rPr>
      <t xml:space="preserve">3.2. </t>
    </r>
    <r>
      <rPr>
        <sz val="12"/>
        <color indexed="8"/>
        <rFont val="Microsoft Sans Serif"/>
        <family val="2"/>
      </rPr>
      <t xml:space="preserve">Use scale from 1 to 5:  5: All 4: Almost all 3: Half 2: Some 1: None
</t>
    </r>
    <r>
      <rPr>
        <b/>
        <sz val="12"/>
        <color indexed="8"/>
        <rFont val="Microsoft Sans Serif"/>
        <family val="2"/>
      </rPr>
      <t>4.1.</t>
    </r>
    <r>
      <rPr>
        <sz val="12"/>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2"/>
        <color indexed="8"/>
        <rFont val="Microsoft Sans Serif"/>
        <family val="2"/>
      </rPr>
      <t>4.2.</t>
    </r>
    <r>
      <rPr>
        <sz val="12"/>
        <color indexed="8"/>
        <rFont val="Microsoft Sans Serif"/>
        <family val="2"/>
      </rPr>
      <t xml:space="preserve">  Summarize in an overall scale (1-5):  5: Fully improved 4: Mostly Improved 3: Moderately improved 2: Somewhat improved
1: Not improved                                                                                                                                                                                                                           </t>
    </r>
    <r>
      <rPr>
        <b/>
        <sz val="12"/>
        <color indexed="8"/>
        <rFont val="Microsoft Sans Serif"/>
        <family val="2"/>
      </rPr>
      <t>5.</t>
    </r>
    <r>
      <rPr>
        <sz val="12"/>
        <color indexed="8"/>
        <rFont val="Microsoft Sans Serif"/>
        <family val="2"/>
      </rPr>
      <t xml:space="preserve">  Depends on the targeted natural asset: 
</t>
    </r>
    <r>
      <rPr>
        <i/>
        <sz val="12"/>
        <color indexed="8"/>
        <rFont val="Microsoft Sans Serif"/>
        <family val="2"/>
      </rPr>
      <t>Biological (species):</t>
    </r>
    <r>
      <rPr>
        <sz val="12"/>
        <color indexed="8"/>
        <rFont val="Microsoft Sans Serif"/>
        <family val="2"/>
      </rPr>
      <t xml:space="preserve"> measure through changes in population numbers (dynamics, structure, etc.)
</t>
    </r>
    <r>
      <rPr>
        <i/>
        <sz val="12"/>
        <color indexed="8"/>
        <rFont val="Microsoft Sans Serif"/>
        <family val="2"/>
      </rPr>
      <t xml:space="preserve">Land: </t>
    </r>
    <r>
      <rPr>
        <sz val="12"/>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2"/>
        <color indexed="8"/>
        <rFont val="Microsoft Sans Serif"/>
        <family val="2"/>
      </rPr>
      <t>6.1.</t>
    </r>
    <r>
      <rPr>
        <sz val="12"/>
        <color indexed="8"/>
        <rFont val="Microsoft Sans Serif"/>
        <family val="2"/>
      </rPr>
      <t xml:space="preserve">  Summarize in an overall scale (1-5):  5: Very high improvement 4: High improvement 3: Moderate improvement 2: Limited improvement 1: No improvement                                                                                                                                                                                                                                                         </t>
    </r>
    <r>
      <rPr>
        <b/>
        <sz val="12"/>
        <color indexed="8"/>
        <rFont val="Microsoft Sans Serif"/>
        <family val="2"/>
      </rPr>
      <t xml:space="preserve">6.2. </t>
    </r>
    <r>
      <rPr>
        <sz val="12"/>
        <color indexed="8"/>
        <rFont val="Microsoft Sans Serif"/>
        <family val="2"/>
      </rPr>
      <t xml:space="preserve"> Household income by source of livelihood in project area (USD) prior and post project intervention                                                                                                                                                                                                                                                      </t>
    </r>
    <r>
      <rPr>
        <b/>
        <sz val="12"/>
        <color indexed="8"/>
        <rFont val="Microsoft Sans Serif"/>
        <family val="2"/>
      </rPr>
      <t>7.</t>
    </r>
    <r>
      <rPr>
        <sz val="12"/>
        <color indexed="8"/>
        <rFont val="Microsoft Sans Serif"/>
        <family val="2"/>
      </rPr>
      <t xml:space="preserve"> Summarize in an overall scale (1-5).  5: All (Fully integrated) 4: Most 3: Some 2: Most not integrated 1: None</t>
    </r>
  </si>
  <si>
    <r>
      <rPr>
        <b/>
        <sz val="12"/>
        <color indexed="8"/>
        <rFont val="Microsoft Sans Serif"/>
        <family val="2"/>
      </rPr>
      <t>1.1.</t>
    </r>
    <r>
      <rPr>
        <sz val="12"/>
        <color indexed="8"/>
        <rFont val="Microsoft Sans Serif"/>
        <family val="2"/>
      </rPr>
      <t xml:space="preserve">  Number, sector(s) and level(s) of projects or interventions in separate fields of monitoring plan                                                                                  </t>
    </r>
    <r>
      <rPr>
        <b/>
        <sz val="12"/>
        <color indexed="8"/>
        <rFont val="Microsoft Sans Serif"/>
        <family val="2"/>
      </rPr>
      <t xml:space="preserve">1.2. </t>
    </r>
    <r>
      <rPr>
        <sz val="12"/>
        <color indexed="8"/>
        <rFont val="Microsoft Sans Serif"/>
        <family val="2"/>
      </rPr>
      <t xml:space="preserve">Number
</t>
    </r>
    <r>
      <rPr>
        <b/>
        <sz val="12"/>
        <color indexed="8"/>
        <rFont val="Microsoft Sans Serif"/>
        <family val="2"/>
      </rPr>
      <t>2.1.1.</t>
    </r>
    <r>
      <rPr>
        <sz val="12"/>
        <color indexed="8"/>
        <rFont val="Microsoft Sans Serif"/>
        <family val="2"/>
      </rPr>
      <t xml:space="preserve"> Number of staff (male/female) of targeted institutions: a. Obtain baseline information: total number of staff from targeted institutions b. Define target
</t>
    </r>
    <r>
      <rPr>
        <b/>
        <sz val="12"/>
        <color indexed="8"/>
        <rFont val="Microsoft Sans Serif"/>
        <family val="2"/>
      </rPr>
      <t>2.1.2.</t>
    </r>
    <r>
      <rPr>
        <sz val="12"/>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2"/>
        <color indexed="8"/>
        <rFont val="Microsoft Sans Serif"/>
        <family val="2"/>
      </rPr>
      <t xml:space="preserve">2.2.1. </t>
    </r>
    <r>
      <rPr>
        <i/>
        <sz val="12"/>
        <color indexed="8"/>
        <rFont val="Microsoft Sans Serif"/>
        <family val="2"/>
      </rPr>
      <t>Quantitative:</t>
    </r>
    <r>
      <rPr>
        <sz val="12"/>
        <color indexed="8"/>
        <rFont val="Microsoft Sans Serif"/>
        <family val="2"/>
      </rPr>
      <t xml:space="preserve"> Percentage (includes women – and other vulnerable groups – and men).
</t>
    </r>
    <r>
      <rPr>
        <i/>
        <sz val="12"/>
        <color indexed="8"/>
        <rFont val="Microsoft Sans Serif"/>
        <family val="2"/>
      </rPr>
      <t>Qualitative:</t>
    </r>
    <r>
      <rPr>
        <sz val="12"/>
        <color indexed="8"/>
        <rFont val="Microsoft Sans Serif"/>
        <family val="2"/>
      </rPr>
      <t xml:space="preserve"> Adequacy: include direct analysis of major areas; adequacy/effectiveness of systems or analysis of perceptions of populations and institutions.</t>
    </r>
    <r>
      <rPr>
        <b/>
        <sz val="12"/>
        <color indexed="8"/>
        <rFont val="Microsoft Sans Serif"/>
        <family val="2"/>
      </rPr>
      <t xml:space="preserve">
2.2.2.</t>
    </r>
    <r>
      <rPr>
        <sz val="12"/>
        <color indexed="8"/>
        <rFont val="Microsoft Sans Serif"/>
        <family val="2"/>
      </rPr>
      <t xml:space="preserve"> Number (broken down by gender and, if possible, by vulnerable groups defined in the area of intervention) of people                                                                                                                                                   </t>
    </r>
    <r>
      <rPr>
        <b/>
        <sz val="12"/>
        <color indexed="8"/>
        <rFont val="Microsoft Sans Serif"/>
        <family val="2"/>
      </rPr>
      <t xml:space="preserve">3.1. </t>
    </r>
    <r>
      <rPr>
        <sz val="12"/>
        <color indexed="8"/>
        <rFont val="Microsoft Sans Serif"/>
        <family val="2"/>
      </rPr>
      <t xml:space="preserve">Number and type (in separate columns) at local level.                                                                                                                                    </t>
    </r>
    <r>
      <rPr>
        <b/>
        <sz val="12"/>
        <color indexed="8"/>
        <rFont val="Microsoft Sans Serif"/>
        <family val="2"/>
      </rPr>
      <t xml:space="preserve">3.2. </t>
    </r>
    <r>
      <rPr>
        <sz val="12"/>
        <color indexed="8"/>
        <rFont val="Microsoft Sans Serif"/>
        <family val="2"/>
      </rPr>
      <t xml:space="preserve">Number                                                                                                                                                                                                                                     </t>
    </r>
    <r>
      <rPr>
        <b/>
        <sz val="12"/>
        <color indexed="8"/>
        <rFont val="Microsoft Sans Serif"/>
        <family val="2"/>
      </rPr>
      <t>4.1.</t>
    </r>
    <r>
      <rPr>
        <sz val="12"/>
        <color indexed="8"/>
        <rFont val="Microsoft Sans Serif"/>
        <family val="2"/>
      </rPr>
      <t xml:space="preserve"> Number and type                                                                                                                                                                                                               </t>
    </r>
    <r>
      <rPr>
        <b/>
        <sz val="12"/>
        <color indexed="8"/>
        <rFont val="Microsoft Sans Serif"/>
        <family val="2"/>
      </rPr>
      <t xml:space="preserve">4. 2. </t>
    </r>
    <r>
      <rPr>
        <sz val="12"/>
        <color indexed="8"/>
        <rFont val="Microsoft Sans Serif"/>
        <family val="2"/>
      </rPr>
      <t xml:space="preserve"> Number and type (entered in separate columns)                                                                                                                                                     </t>
    </r>
    <r>
      <rPr>
        <b/>
        <sz val="12"/>
        <color indexed="8"/>
        <rFont val="Microsoft Sans Serif"/>
        <family val="2"/>
      </rPr>
      <t>5.</t>
    </r>
    <r>
      <rPr>
        <sz val="12"/>
        <color indexed="8"/>
        <rFont val="Microsoft Sans Serif"/>
        <family val="2"/>
      </rPr>
      <t xml:space="preserve">  Number of interventions by type of natural asset and intervention                                                                                                                    </t>
    </r>
    <r>
      <rPr>
        <b/>
        <sz val="12"/>
        <color indexed="8"/>
        <rFont val="Microsoft Sans Serif"/>
        <family val="2"/>
      </rPr>
      <t>6.1.</t>
    </r>
    <r>
      <rPr>
        <sz val="12"/>
        <color indexed="8"/>
        <rFont val="Microsoft Sans Serif"/>
        <family val="2"/>
      </rPr>
      <t xml:space="preserve">  Number and type (in separate columns of monitoring plan)                                                                                                                                                                                                                                                    </t>
    </r>
    <r>
      <rPr>
        <b/>
        <sz val="12"/>
        <color indexed="8"/>
        <rFont val="Microsoft Sans Serif"/>
        <family val="2"/>
      </rPr>
      <t xml:space="preserve">6.2. </t>
    </r>
    <r>
      <rPr>
        <sz val="12"/>
        <color indexed="8"/>
        <rFont val="Microsoft Sans Serif"/>
        <family val="2"/>
      </rPr>
      <t xml:space="preserve">Income sources per household; description of income source and number of households.                                                                                                                                                                                                                                                     </t>
    </r>
    <r>
      <rPr>
        <b/>
        <sz val="12"/>
        <color indexed="8"/>
        <rFont val="Microsoft Sans Serif"/>
        <family val="2"/>
      </rPr>
      <t xml:space="preserve">7.1. </t>
    </r>
    <r>
      <rPr>
        <sz val="12"/>
        <color indexed="8"/>
        <rFont val="Microsoft Sans Serif"/>
        <family val="2"/>
      </rPr>
      <t xml:space="preserve"> Number/Sector                                                                                                                                                                                                                                                   </t>
    </r>
    <r>
      <rPr>
        <b/>
        <sz val="12"/>
        <color indexed="8"/>
        <rFont val="Microsoft Sans Serif"/>
        <family val="2"/>
      </rPr>
      <t xml:space="preserve">7.2. </t>
    </r>
    <r>
      <rPr>
        <sz val="12"/>
        <color indexed="8"/>
        <rFont val="Microsoft Sans Serif"/>
        <family val="2"/>
      </rPr>
      <t>Number; Effectiveness (see previous indicator) through enforcement level.</t>
    </r>
  </si>
  <si>
    <t xml:space="preserve">NABARD maintains one RBI account where all the funds are credited and pooled. In view of this, project wise investment income may not be ascertained.
However, agency has earned USD 2012.99 as interest.
</t>
  </si>
  <si>
    <t>kuldeep Singh, Sachin V Kamble, Sushil Kumar</t>
  </si>
  <si>
    <t xml:space="preserve">climate.change@nabard.org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</si>
</sst>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dd\-mmm\-yyyy"/>
    <numFmt numFmtId="166" formatCode="&quot;&quot;0.00"/>
    <numFmt numFmtId="167" formatCode="0.0"/>
  </numFmts>
  <fonts count="76" x14ac:knownFonts="1">
    <font>
      <sz val="11"/>
      <color theme="1"/>
      <name val="Calibri"/>
      <family val="2"/>
      <scheme val="minor"/>
    </font>
    <font>
      <sz val="11"/>
      <color indexed="10"/>
      <name val="Times New Roman"/>
      <family val="1"/>
    </font>
    <font>
      <u/>
      <sz val="11"/>
      <color theme="10"/>
      <name val="Calibri"/>
      <family val="2"/>
    </font>
    <font>
      <b/>
      <sz val="12"/>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sz val="11"/>
      <color theme="1"/>
      <name val="Calibri"/>
      <family val="2"/>
      <scheme val="minor"/>
    </font>
    <font>
      <b/>
      <sz val="11"/>
      <color theme="1"/>
      <name val="Georgia"/>
      <family val="1"/>
    </font>
    <font>
      <sz val="12"/>
      <color theme="1"/>
      <name val="Georgia"/>
      <family val="1"/>
    </font>
    <font>
      <sz val="11"/>
      <name val="Georgia"/>
      <family val="1"/>
    </font>
    <font>
      <u/>
      <sz val="11"/>
      <color theme="10"/>
      <name val="Georgia"/>
      <family val="1"/>
    </font>
    <font>
      <sz val="11"/>
      <color indexed="8"/>
      <name val="Georgia"/>
      <family val="1"/>
    </font>
    <font>
      <sz val="11"/>
      <color theme="1"/>
      <name val="Georgia"/>
      <family val="1"/>
    </font>
    <font>
      <b/>
      <sz val="14"/>
      <color rgb="FF000000"/>
      <name val="Georgia"/>
      <family val="1"/>
    </font>
    <font>
      <b/>
      <sz val="11"/>
      <name val="Georgia"/>
      <family val="1"/>
    </font>
    <font>
      <b/>
      <sz val="11"/>
      <color indexed="8"/>
      <name val="Georgia"/>
      <family val="1"/>
    </font>
    <font>
      <sz val="10"/>
      <name val="Georgia"/>
      <family val="1"/>
    </font>
    <font>
      <i/>
      <sz val="11"/>
      <color indexed="8"/>
      <name val="Georgia"/>
      <family val="1"/>
    </font>
    <font>
      <sz val="11"/>
      <color indexed="9"/>
      <name val="Georgia"/>
      <family val="1"/>
    </font>
    <font>
      <b/>
      <sz val="11"/>
      <color indexed="12"/>
      <name val="Georgia"/>
      <family val="1"/>
    </font>
    <font>
      <b/>
      <sz val="12"/>
      <name val="Georgia"/>
      <family val="1"/>
    </font>
    <font>
      <sz val="12"/>
      <color indexed="8"/>
      <name val="Georgia"/>
      <family val="1"/>
    </font>
    <font>
      <sz val="12"/>
      <color indexed="43"/>
      <name val="Georgia"/>
      <family val="1"/>
    </font>
    <font>
      <b/>
      <sz val="16"/>
      <color indexed="8"/>
      <name val="Georgia"/>
      <family val="1"/>
    </font>
    <font>
      <b/>
      <sz val="12"/>
      <color indexed="8"/>
      <name val="Georgia"/>
      <family val="1"/>
    </font>
    <font>
      <i/>
      <sz val="12"/>
      <color indexed="8"/>
      <name val="Georgia"/>
      <family val="1"/>
    </font>
    <font>
      <sz val="12"/>
      <name val="Georgia"/>
      <family val="1"/>
    </font>
    <font>
      <b/>
      <sz val="12"/>
      <color theme="1"/>
      <name val="Georgia"/>
      <family val="1"/>
    </font>
    <font>
      <b/>
      <sz val="12"/>
      <color rgb="FF000000"/>
      <name val="Georgia"/>
      <family val="1"/>
    </font>
    <font>
      <sz val="12"/>
      <color rgb="FF000000"/>
      <name val="Georgia"/>
      <family val="1"/>
    </font>
    <font>
      <i/>
      <sz val="12"/>
      <color theme="1"/>
      <name val="Georgia"/>
      <family val="1"/>
    </font>
    <font>
      <b/>
      <sz val="12"/>
      <color theme="9" tint="-0.249977111117893"/>
      <name val="Georgia"/>
      <family val="1"/>
    </font>
    <font>
      <b/>
      <sz val="12"/>
      <color theme="9" tint="-0.499984740745262"/>
      <name val="Georgia"/>
      <family val="1"/>
    </font>
    <font>
      <i/>
      <sz val="12"/>
      <name val="Georgia"/>
      <family val="1"/>
    </font>
    <font>
      <sz val="12"/>
      <color rgb="FFC00000"/>
      <name val="Georgia"/>
      <family val="1"/>
    </font>
    <font>
      <sz val="14"/>
      <color theme="1"/>
      <name val="Georgia"/>
      <family val="1"/>
    </font>
    <font>
      <b/>
      <sz val="14"/>
      <color indexed="8"/>
      <name val="Georgia"/>
      <family val="1"/>
    </font>
    <font>
      <sz val="14"/>
      <color indexed="8"/>
      <name val="Georgia"/>
      <family val="1"/>
    </font>
    <font>
      <b/>
      <sz val="14"/>
      <color theme="1"/>
      <name val="Georgia"/>
      <family val="1"/>
    </font>
    <font>
      <sz val="16"/>
      <color theme="1"/>
      <name val="Georgia"/>
      <family val="1"/>
    </font>
    <font>
      <sz val="16"/>
      <color indexed="8"/>
      <name val="Georgia"/>
      <family val="1"/>
    </font>
    <font>
      <u/>
      <sz val="12"/>
      <color theme="10"/>
      <name val="Georgia"/>
      <family val="1"/>
    </font>
    <font>
      <sz val="12"/>
      <color indexed="10"/>
      <name val="Georgia"/>
      <family val="1"/>
    </font>
    <font>
      <sz val="18"/>
      <color theme="1"/>
      <name val="Georgia"/>
      <family val="1"/>
    </font>
    <font>
      <sz val="12"/>
      <color theme="7"/>
      <name val="Georgia"/>
      <family val="1"/>
    </font>
    <font>
      <sz val="22"/>
      <color theme="1"/>
      <name val="Georgia"/>
      <family val="1"/>
    </font>
    <font>
      <sz val="12"/>
      <color theme="3"/>
      <name val="Georgia"/>
      <family val="1"/>
    </font>
    <font>
      <sz val="20"/>
      <color theme="1"/>
      <name val="Georgia"/>
      <family val="1"/>
    </font>
    <font>
      <sz val="12"/>
      <color theme="4"/>
      <name val="Georgia"/>
      <family val="1"/>
    </font>
    <font>
      <u/>
      <sz val="12"/>
      <name val="Georgia"/>
      <family val="1"/>
    </font>
    <font>
      <b/>
      <i/>
      <sz val="12"/>
      <name val="Georgia"/>
      <family val="1"/>
    </font>
    <font>
      <b/>
      <sz val="16"/>
      <name val="Georgia"/>
      <family val="1"/>
    </font>
    <font>
      <i/>
      <sz val="11"/>
      <name val="Georgia"/>
      <family val="1"/>
    </font>
    <font>
      <sz val="11"/>
      <color rgb="FF000000"/>
      <name val="Georgia"/>
      <family val="1"/>
    </font>
    <font>
      <i/>
      <sz val="11"/>
      <color theme="1"/>
      <name val="Georgia"/>
      <family val="1"/>
    </font>
    <font>
      <sz val="11"/>
      <color rgb="FFFF0000"/>
      <name val="Georgia"/>
      <family val="1"/>
    </font>
    <font>
      <sz val="11"/>
      <color indexed="43"/>
      <name val="Georgia"/>
      <family val="1"/>
    </font>
    <font>
      <sz val="10"/>
      <color theme="1"/>
      <name val="Georgia"/>
      <family val="1"/>
    </font>
    <font>
      <b/>
      <i/>
      <sz val="12"/>
      <color rgb="FF00B050"/>
      <name val="Georgia"/>
      <family val="1"/>
    </font>
    <font>
      <b/>
      <sz val="12"/>
      <color rgb="FF00B050"/>
      <name val="Georgia"/>
      <family val="1"/>
    </font>
    <font>
      <b/>
      <sz val="11"/>
      <color rgb="FFFF0000"/>
      <name val="Georgia"/>
      <family val="1"/>
    </font>
    <font>
      <i/>
      <sz val="12"/>
      <color rgb="FF000000"/>
      <name val="Georgia"/>
      <family val="1"/>
    </font>
    <font>
      <b/>
      <sz val="12"/>
      <color rgb="FFFF0000"/>
      <name val="Georgia"/>
      <family val="1"/>
    </font>
    <font>
      <b/>
      <i/>
      <sz val="12"/>
      <color indexed="8"/>
      <name val="Georgia"/>
      <family val="1"/>
    </font>
    <font>
      <b/>
      <sz val="12"/>
      <color rgb="FFFFFFFF"/>
      <name val="Georgia"/>
      <family val="1"/>
    </font>
    <font>
      <b/>
      <sz val="12"/>
      <color rgb="FF9C6500"/>
      <name val="Georgia"/>
      <family val="1"/>
    </font>
    <font>
      <b/>
      <u/>
      <sz val="12"/>
      <color theme="1"/>
      <name val="Georgia"/>
      <family val="1"/>
    </font>
    <font>
      <b/>
      <i/>
      <sz val="12"/>
      <color theme="1"/>
      <name val="Georgia"/>
      <family val="1"/>
    </font>
    <font>
      <sz val="12"/>
      <color rgb="FF9C6500"/>
      <name val="Georgia"/>
      <family val="1"/>
    </font>
    <font>
      <sz val="12"/>
      <color rgb="FF006100"/>
      <name val="Georgia"/>
      <family val="1"/>
    </font>
    <font>
      <sz val="12"/>
      <color rgb="FF9C0006"/>
      <name val="Georgia"/>
      <family val="1"/>
    </font>
    <font>
      <b/>
      <i/>
      <sz val="14"/>
      <color rgb="FF00B050"/>
      <name val="Georgia"/>
      <family val="1"/>
    </font>
    <font>
      <sz val="12"/>
      <color indexed="8"/>
      <name val="Microsoft Sans Serif"/>
      <family val="2"/>
    </font>
    <font>
      <b/>
      <sz val="12"/>
      <color indexed="8"/>
      <name val="Microsoft Sans Serif"/>
      <family val="2"/>
    </font>
    <font>
      <i/>
      <sz val="12"/>
      <color indexed="8"/>
      <name val="Microsoft Sans Serif"/>
      <family val="2"/>
    </font>
  </fonts>
  <fills count="22">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bgColor rgb="FF969696"/>
      </patternFill>
    </fill>
    <fill>
      <patternFill patternType="solid">
        <fgColor theme="0"/>
        <bgColor rgb="FFCCC1DA"/>
      </patternFill>
    </fill>
    <fill>
      <patternFill patternType="solid">
        <fgColor rgb="FFFDE8D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3" tint="0.79998168889431442"/>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4"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164" fontId="7" fillId="0" borderId="0" applyFont="0" applyFill="0" applyBorder="0" applyAlignment="0" applyProtection="0"/>
    <xf numFmtId="0" fontId="7" fillId="0" borderId="0"/>
  </cellStyleXfs>
  <cellXfs count="960">
    <xf numFmtId="0" fontId="0" fillId="0" borderId="0" xfId="0"/>
    <xf numFmtId="0" fontId="3" fillId="4" borderId="15" xfId="0" applyFont="1" applyFill="1" applyBorder="1" applyAlignment="1">
      <alignment horizontal="center" vertical="center" wrapText="1"/>
    </xf>
    <xf numFmtId="0" fontId="8" fillId="0" borderId="0" xfId="0" applyFont="1" applyAlignment="1">
      <alignment wrapText="1"/>
    </xf>
    <xf numFmtId="0" fontId="9" fillId="0" borderId="0" xfId="0" applyFont="1"/>
    <xf numFmtId="0" fontId="10" fillId="2" borderId="2" xfId="0" applyFont="1" applyFill="1" applyBorder="1" applyAlignment="1" applyProtection="1">
      <alignment wrapText="1"/>
      <protection locked="0"/>
    </xf>
    <xf numFmtId="0" fontId="11" fillId="2" borderId="3" xfId="1" applyFont="1" applyFill="1" applyBorder="1" applyAlignment="1" applyProtection="1">
      <protection locked="0"/>
    </xf>
    <xf numFmtId="165" fontId="10" fillId="2" borderId="4" xfId="0" applyNumberFormat="1" applyFont="1" applyFill="1" applyBorder="1" applyAlignment="1" applyProtection="1">
      <alignment horizontal="left"/>
      <protection locked="0"/>
    </xf>
    <xf numFmtId="0" fontId="12" fillId="3" borderId="0" xfId="0" applyFont="1" applyFill="1" applyBorder="1" applyProtection="1"/>
    <xf numFmtId="0" fontId="12" fillId="2" borderId="2" xfId="0" applyFont="1" applyFill="1" applyBorder="1" applyAlignment="1" applyProtection="1">
      <alignment wrapText="1"/>
      <protection locked="0"/>
    </xf>
    <xf numFmtId="0" fontId="11" fillId="0" borderId="25" xfId="1" applyFont="1" applyBorder="1" applyAlignment="1" applyProtection="1"/>
    <xf numFmtId="0" fontId="12" fillId="2" borderId="2" xfId="0" applyFont="1" applyFill="1" applyBorder="1" applyProtection="1">
      <protection locked="0"/>
    </xf>
    <xf numFmtId="0" fontId="13" fillId="0" borderId="0" xfId="0" applyFont="1" applyFill="1" applyAlignment="1" applyProtection="1">
      <alignment horizontal="right"/>
    </xf>
    <xf numFmtId="0" fontId="13" fillId="0" borderId="0" xfId="0" applyFont="1" applyFill="1" applyProtection="1"/>
    <xf numFmtId="0" fontId="13" fillId="0" borderId="0" xfId="0" applyFont="1" applyProtection="1"/>
    <xf numFmtId="0" fontId="13" fillId="3" borderId="17" xfId="0" applyFont="1" applyFill="1" applyBorder="1" applyAlignment="1" applyProtection="1">
      <alignment horizontal="right"/>
    </xf>
    <xf numFmtId="0" fontId="13" fillId="3" borderId="18" xfId="0" applyFont="1" applyFill="1" applyBorder="1" applyAlignment="1" applyProtection="1">
      <alignment horizontal="right"/>
    </xf>
    <xf numFmtId="0" fontId="13" fillId="3" borderId="18" xfId="0" applyFont="1" applyFill="1" applyBorder="1" applyProtection="1"/>
    <xf numFmtId="0" fontId="13" fillId="3" borderId="19" xfId="0" applyFont="1" applyFill="1" applyBorder="1" applyProtection="1"/>
    <xf numFmtId="0" fontId="13" fillId="3" borderId="20" xfId="0" applyFont="1" applyFill="1" applyBorder="1" applyAlignment="1" applyProtection="1">
      <alignment horizontal="right"/>
    </xf>
    <xf numFmtId="0" fontId="13" fillId="3" borderId="0" xfId="0" applyFont="1" applyFill="1" applyBorder="1" applyAlignment="1" applyProtection="1">
      <alignment horizontal="right"/>
    </xf>
    <xf numFmtId="0" fontId="14" fillId="0" borderId="1" xfId="0" applyFont="1" applyBorder="1" applyAlignment="1">
      <alignment horizontal="center" readingOrder="1"/>
    </xf>
    <xf numFmtId="0" fontId="13" fillId="3" borderId="21" xfId="0" applyFont="1" applyFill="1" applyBorder="1" applyProtection="1"/>
    <xf numFmtId="0" fontId="13" fillId="3" borderId="0" xfId="0" applyFont="1" applyFill="1" applyBorder="1" applyProtection="1"/>
    <xf numFmtId="0" fontId="8" fillId="3" borderId="0" xfId="0" applyFont="1" applyFill="1" applyBorder="1" applyAlignment="1" applyProtection="1">
      <alignment horizontal="right"/>
    </xf>
    <xf numFmtId="0" fontId="15" fillId="2" borderId="1" xfId="0" applyFont="1" applyFill="1" applyBorder="1" applyAlignment="1" applyProtection="1">
      <alignment horizontal="center"/>
    </xf>
    <xf numFmtId="0" fontId="12" fillId="3" borderId="20" xfId="0" applyFont="1" applyFill="1" applyBorder="1" applyAlignment="1" applyProtection="1">
      <alignment horizontal="right"/>
    </xf>
    <xf numFmtId="0" fontId="12" fillId="3" borderId="0" xfId="0" applyFont="1" applyFill="1" applyBorder="1" applyAlignment="1" applyProtection="1">
      <alignment horizontal="right"/>
    </xf>
    <xf numFmtId="0" fontId="12" fillId="3" borderId="21" xfId="0" applyFont="1" applyFill="1" applyBorder="1" applyProtection="1"/>
    <xf numFmtId="0" fontId="12" fillId="0" borderId="0" xfId="0" applyFont="1" applyFill="1" applyProtection="1"/>
    <xf numFmtId="0" fontId="16" fillId="3" borderId="0" xfId="0" applyFont="1" applyFill="1" applyBorder="1" applyAlignment="1" applyProtection="1">
      <alignment horizontal="right" vertical="center"/>
    </xf>
    <xf numFmtId="0" fontId="12" fillId="2" borderId="1" xfId="0" applyFont="1" applyFill="1" applyBorder="1" applyAlignment="1" applyProtection="1">
      <alignment horizontal="left" vertical="top" wrapText="1"/>
      <protection locked="0"/>
    </xf>
    <xf numFmtId="0" fontId="16" fillId="3" borderId="0" xfId="0" applyFont="1" applyFill="1" applyBorder="1" applyAlignment="1" applyProtection="1">
      <alignment horizontal="right" vertical="top"/>
    </xf>
    <xf numFmtId="0" fontId="16" fillId="3" borderId="0" xfId="0" applyFont="1" applyFill="1" applyBorder="1" applyAlignment="1" applyProtection="1">
      <alignment horizontal="right"/>
    </xf>
    <xf numFmtId="1" fontId="12" fillId="2" borderId="2" xfId="0" applyNumberFormat="1" applyFont="1" applyFill="1" applyBorder="1" applyAlignment="1" applyProtection="1">
      <alignment horizontal="left"/>
      <protection locked="0"/>
    </xf>
    <xf numFmtId="0" fontId="17" fillId="0" borderId="0" xfId="0" applyFont="1" applyProtection="1"/>
    <xf numFmtId="1" fontId="12" fillId="2" borderId="3" xfId="0" applyNumberFormat="1" applyFont="1" applyFill="1" applyBorder="1" applyAlignment="1" applyProtection="1">
      <alignment horizontal="left"/>
      <protection locked="0"/>
    </xf>
    <xf numFmtId="0" fontId="12" fillId="3" borderId="20" xfId="0" applyFont="1" applyFill="1" applyBorder="1" applyAlignment="1" applyProtection="1">
      <alignment horizontal="right" vertical="top" wrapText="1"/>
    </xf>
    <xf numFmtId="1" fontId="12" fillId="2" borderId="31" xfId="0" applyNumberFormat="1" applyFont="1" applyFill="1" applyBorder="1" applyAlignment="1" applyProtection="1">
      <alignment horizontal="left"/>
      <protection locked="0"/>
    </xf>
    <xf numFmtId="1" fontId="12" fillId="2" borderId="1" xfId="0" applyNumberFormat="1" applyFont="1" applyFill="1" applyBorder="1" applyAlignment="1" applyProtection="1">
      <alignment horizontal="left" wrapText="1"/>
      <protection locked="0"/>
    </xf>
    <xf numFmtId="0" fontId="18" fillId="3" borderId="0" xfId="0" applyFont="1" applyFill="1" applyBorder="1" applyAlignment="1" applyProtection="1">
      <alignment horizontal="right"/>
    </xf>
    <xf numFmtId="15" fontId="12" fillId="2" borderId="11" xfId="0" applyNumberFormat="1" applyFont="1" applyFill="1" applyBorder="1" applyAlignment="1" applyProtection="1">
      <alignment horizontal="left"/>
    </xf>
    <xf numFmtId="15" fontId="10" fillId="2" borderId="3" xfId="0" applyNumberFormat="1" applyFont="1" applyFill="1" applyBorder="1" applyAlignment="1" applyProtection="1">
      <alignment horizontal="left"/>
    </xf>
    <xf numFmtId="17" fontId="10" fillId="2" borderId="3" xfId="0" applyNumberFormat="1" applyFont="1" applyFill="1" applyBorder="1" applyAlignment="1" applyProtection="1">
      <alignment horizontal="left"/>
    </xf>
    <xf numFmtId="0" fontId="10" fillId="3" borderId="21" xfId="0" applyFont="1" applyFill="1" applyBorder="1" applyAlignment="1" applyProtection="1">
      <alignment wrapText="1"/>
    </xf>
    <xf numFmtId="17" fontId="10" fillId="2" borderId="4" xfId="0" applyNumberFormat="1" applyFont="1" applyFill="1" applyBorder="1" applyAlignment="1" applyProtection="1">
      <alignment horizontal="left"/>
    </xf>
    <xf numFmtId="0" fontId="12" fillId="3" borderId="21" xfId="0" applyFont="1" applyFill="1" applyBorder="1" applyAlignment="1" applyProtection="1">
      <alignment wrapText="1"/>
    </xf>
    <xf numFmtId="0" fontId="12" fillId="3" borderId="0" xfId="0" applyFont="1" applyFill="1" applyBorder="1" applyAlignment="1" applyProtection="1">
      <alignment horizontal="center"/>
    </xf>
    <xf numFmtId="0" fontId="16" fillId="3" borderId="0" xfId="0" applyFont="1" applyFill="1" applyBorder="1" applyProtection="1"/>
    <xf numFmtId="0" fontId="12" fillId="2" borderId="1" xfId="0" applyFont="1" applyFill="1" applyBorder="1" applyAlignment="1" applyProtection="1">
      <alignment vertical="top" wrapText="1"/>
      <protection locked="0"/>
    </xf>
    <xf numFmtId="0" fontId="19" fillId="0" borderId="0" xfId="0" applyFont="1" applyFill="1" applyProtection="1"/>
    <xf numFmtId="0" fontId="11" fillId="2" borderId="1" xfId="1" applyFont="1" applyFill="1" applyBorder="1" applyAlignment="1" applyProtection="1">
      <alignment vertical="top" wrapText="1"/>
      <protection locked="0"/>
    </xf>
    <xf numFmtId="0" fontId="20" fillId="3" borderId="0" xfId="0" applyFont="1" applyFill="1" applyBorder="1" applyAlignment="1" applyProtection="1">
      <alignment horizontal="right"/>
    </xf>
    <xf numFmtId="0" fontId="12" fillId="3" borderId="22" xfId="0" applyFont="1" applyFill="1" applyBorder="1" applyAlignment="1" applyProtection="1">
      <alignment horizontal="right"/>
    </xf>
    <xf numFmtId="0" fontId="12" fillId="3" borderId="23" xfId="0" applyFont="1" applyFill="1" applyBorder="1" applyAlignment="1" applyProtection="1">
      <alignment horizontal="right"/>
    </xf>
    <xf numFmtId="0" fontId="12" fillId="3" borderId="23" xfId="0" applyFont="1" applyFill="1" applyBorder="1" applyProtection="1"/>
    <xf numFmtId="0" fontId="12" fillId="3" borderId="24" xfId="0" applyFont="1" applyFill="1" applyBorder="1" applyProtection="1"/>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center"/>
    </xf>
    <xf numFmtId="0" fontId="9" fillId="2" borderId="0" xfId="0" applyFont="1" applyFill="1" applyAlignment="1">
      <alignment horizontal="left"/>
    </xf>
    <xf numFmtId="0" fontId="9" fillId="3" borderId="17" xfId="0" applyFont="1" applyFill="1" applyBorder="1" applyAlignment="1">
      <alignment horizontal="left" vertical="center"/>
    </xf>
    <xf numFmtId="0" fontId="9" fillId="3" borderId="18" xfId="0" applyFont="1" applyFill="1" applyBorder="1" applyAlignment="1">
      <alignment horizontal="left" vertical="center"/>
    </xf>
    <xf numFmtId="0" fontId="9" fillId="3" borderId="18" xfId="0" applyFont="1" applyFill="1" applyBorder="1" applyAlignment="1">
      <alignment horizontal="left"/>
    </xf>
    <xf numFmtId="0" fontId="9" fillId="3" borderId="18" xfId="0" applyFont="1" applyFill="1" applyBorder="1" applyAlignment="1">
      <alignment horizontal="center"/>
    </xf>
    <xf numFmtId="0" fontId="9" fillId="2" borderId="18" xfId="0" applyFont="1" applyFill="1" applyBorder="1" applyAlignment="1">
      <alignment horizontal="left"/>
    </xf>
    <xf numFmtId="0" fontId="9" fillId="3" borderId="19" xfId="0" applyFont="1" applyFill="1" applyBorder="1"/>
    <xf numFmtId="0" fontId="9" fillId="3" borderId="20" xfId="0" applyFont="1" applyFill="1" applyBorder="1" applyAlignment="1">
      <alignment horizontal="left" vertical="center"/>
    </xf>
    <xf numFmtId="0" fontId="22" fillId="3" borderId="21" xfId="0" applyFont="1" applyFill="1" applyBorder="1" applyAlignment="1" applyProtection="1">
      <alignment vertical="top" wrapText="1"/>
    </xf>
    <xf numFmtId="0" fontId="22" fillId="3" borderId="0" xfId="0" applyFont="1" applyFill="1" applyBorder="1" applyAlignment="1" applyProtection="1">
      <alignment horizontal="center" vertical="top" wrapText="1"/>
    </xf>
    <xf numFmtId="0" fontId="22" fillId="3" borderId="20"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xf>
    <xf numFmtId="0" fontId="22" fillId="3" borderId="0" xfId="0" applyFont="1" applyFill="1" applyBorder="1" applyAlignment="1" applyProtection="1">
      <alignment horizontal="left" vertical="center" wrapText="1"/>
    </xf>
    <xf numFmtId="0" fontId="22" fillId="3" borderId="0" xfId="0" applyFont="1" applyFill="1" applyBorder="1" applyAlignment="1" applyProtection="1">
      <alignment horizontal="left"/>
    </xf>
    <xf numFmtId="0" fontId="22" fillId="3" borderId="0" xfId="0" applyFont="1" applyFill="1" applyBorder="1" applyAlignment="1" applyProtection="1">
      <alignment horizontal="center"/>
    </xf>
    <xf numFmtId="0" fontId="25" fillId="3" borderId="0" xfId="0" applyFont="1" applyFill="1" applyBorder="1" applyAlignment="1" applyProtection="1">
      <alignment horizontal="left" vertical="center" wrapText="1"/>
    </xf>
    <xf numFmtId="0" fontId="25" fillId="3" borderId="0" xfId="0" applyFont="1" applyFill="1" applyBorder="1" applyAlignment="1" applyProtection="1">
      <alignment horizontal="left" vertical="top" wrapText="1"/>
    </xf>
    <xf numFmtId="0" fontId="25" fillId="3" borderId="0" xfId="0" applyFont="1" applyFill="1" applyBorder="1" applyAlignment="1" applyProtection="1">
      <alignment horizontal="center" vertical="top" wrapText="1"/>
    </xf>
    <xf numFmtId="0" fontId="9" fillId="0" borderId="0" xfId="0" applyFont="1" applyFill="1"/>
    <xf numFmtId="0" fontId="22" fillId="3" borderId="0" xfId="0" applyFont="1" applyFill="1" applyBorder="1" applyAlignment="1" applyProtection="1">
      <alignment horizontal="left" vertical="top" wrapText="1"/>
    </xf>
    <xf numFmtId="0" fontId="26" fillId="3" borderId="0" xfId="0" applyFont="1" applyFill="1" applyBorder="1" applyAlignment="1" applyProtection="1">
      <alignment horizontal="center" vertical="center" wrapText="1"/>
    </xf>
    <xf numFmtId="0" fontId="26" fillId="3" borderId="0" xfId="0" applyFont="1" applyFill="1" applyBorder="1" applyAlignment="1" applyProtection="1">
      <alignment horizontal="left" vertical="center" wrapText="1"/>
    </xf>
    <xf numFmtId="0" fontId="25" fillId="3" borderId="0" xfId="0" applyFont="1" applyFill="1" applyBorder="1" applyAlignment="1" applyProtection="1">
      <alignment horizontal="center" wrapText="1"/>
    </xf>
    <xf numFmtId="0" fontId="28" fillId="2" borderId="11" xfId="0" applyFont="1" applyFill="1" applyBorder="1" applyAlignment="1">
      <alignment horizontal="center" vertical="center" wrapText="1"/>
    </xf>
    <xf numFmtId="0" fontId="25" fillId="2" borderId="11" xfId="0" applyFont="1" applyFill="1" applyBorder="1" applyAlignment="1" applyProtection="1">
      <alignment horizontal="left" vertical="center" wrapText="1"/>
    </xf>
    <xf numFmtId="0" fontId="25" fillId="0" borderId="11" xfId="0" applyFont="1" applyFill="1" applyBorder="1" applyAlignment="1" applyProtection="1">
      <alignment horizontal="center" vertical="center" wrapText="1"/>
    </xf>
    <xf numFmtId="0" fontId="25" fillId="19" borderId="11" xfId="0" applyFont="1" applyFill="1" applyBorder="1" applyAlignment="1" applyProtection="1">
      <alignment horizontal="center" vertical="center" wrapText="1"/>
    </xf>
    <xf numFmtId="0" fontId="25" fillId="2" borderId="60" xfId="0" applyFont="1" applyFill="1" applyBorder="1" applyAlignment="1" applyProtection="1">
      <alignment horizontal="center" vertical="center" wrapText="1"/>
    </xf>
    <xf numFmtId="164" fontId="25" fillId="2" borderId="35" xfId="5" applyFont="1" applyFill="1" applyBorder="1" applyAlignment="1" applyProtection="1">
      <alignment horizontal="center" vertical="center" wrapText="1"/>
    </xf>
    <xf numFmtId="0" fontId="25" fillId="0" borderId="0" xfId="0" applyFont="1" applyFill="1" applyBorder="1" applyAlignment="1" applyProtection="1">
      <alignment horizontal="center" vertical="top" wrapText="1"/>
    </xf>
    <xf numFmtId="0" fontId="29" fillId="2" borderId="11" xfId="0" applyFont="1" applyFill="1" applyBorder="1" applyAlignment="1">
      <alignment vertical="center" wrapText="1"/>
    </xf>
    <xf numFmtId="0" fontId="30" fillId="2" borderId="56" xfId="0" applyFont="1" applyFill="1" applyBorder="1" applyAlignment="1">
      <alignment vertical="top" wrapText="1"/>
    </xf>
    <xf numFmtId="0" fontId="21" fillId="0" borderId="56" xfId="0" applyNumberFormat="1" applyFont="1" applyBorder="1" applyAlignment="1">
      <alignment horizontal="left" vertical="center" wrapText="1"/>
    </xf>
    <xf numFmtId="2" fontId="21" fillId="0" borderId="27" xfId="0" applyNumberFormat="1" applyFont="1" applyBorder="1" applyAlignment="1">
      <alignment horizontal="center" vertical="center" wrapText="1"/>
    </xf>
    <xf numFmtId="3" fontId="21" fillId="19" borderId="27" xfId="0" applyNumberFormat="1" applyFont="1" applyFill="1" applyBorder="1" applyAlignment="1">
      <alignment horizontal="center" vertical="center" wrapText="1"/>
    </xf>
    <xf numFmtId="0" fontId="21" fillId="2" borderId="27" xfId="0" applyNumberFormat="1" applyFont="1" applyFill="1" applyBorder="1" applyAlignment="1">
      <alignment horizontal="left" vertical="center" wrapText="1"/>
    </xf>
    <xf numFmtId="0" fontId="27" fillId="2" borderId="11" xfId="0" applyNumberFormat="1" applyFont="1" applyFill="1" applyBorder="1" applyAlignment="1">
      <alignment horizontal="center" vertical="center"/>
    </xf>
    <xf numFmtId="164" fontId="22" fillId="2" borderId="9" xfId="5" applyFont="1" applyFill="1" applyBorder="1" applyAlignment="1" applyProtection="1">
      <alignment vertical="center" wrapText="1"/>
    </xf>
    <xf numFmtId="164" fontId="9" fillId="0" borderId="0" xfId="0" applyNumberFormat="1" applyFont="1" applyFill="1"/>
    <xf numFmtId="164" fontId="25" fillId="0" borderId="0" xfId="0" applyNumberFormat="1" applyFont="1" applyFill="1" applyBorder="1" applyAlignment="1" applyProtection="1">
      <alignment vertical="top" wrapText="1"/>
    </xf>
    <xf numFmtId="0" fontId="25" fillId="0" borderId="0" xfId="0" applyFont="1" applyFill="1" applyBorder="1" applyAlignment="1" applyProtection="1">
      <alignment vertical="top" wrapText="1"/>
    </xf>
    <xf numFmtId="0" fontId="25" fillId="2" borderId="11" xfId="0" applyFont="1" applyFill="1" applyBorder="1" applyAlignment="1" applyProtection="1">
      <alignment horizontal="left" vertical="top" wrapText="1"/>
    </xf>
    <xf numFmtId="0" fontId="22" fillId="2" borderId="11" xfId="0" applyFont="1" applyFill="1" applyBorder="1" applyAlignment="1" applyProtection="1">
      <alignment horizontal="left" vertical="top" wrapText="1"/>
    </xf>
    <xf numFmtId="0" fontId="21" fillId="0" borderId="11" xfId="0" applyNumberFormat="1" applyFont="1" applyBorder="1" applyAlignment="1">
      <alignment horizontal="left" vertical="center" wrapText="1"/>
    </xf>
    <xf numFmtId="0" fontId="29" fillId="19" borderId="11" xfId="0" applyFont="1" applyFill="1" applyBorder="1" applyAlignment="1">
      <alignment horizontal="center" vertical="center"/>
    </xf>
    <xf numFmtId="0" fontId="21" fillId="2" borderId="28" xfId="0" applyNumberFormat="1" applyFont="1" applyFill="1" applyBorder="1" applyAlignment="1">
      <alignment horizontal="left" vertical="center" wrapText="1"/>
    </xf>
    <xf numFmtId="0" fontId="27" fillId="2" borderId="28" xfId="0" applyNumberFormat="1" applyFont="1" applyFill="1" applyBorder="1" applyAlignment="1">
      <alignment horizontal="center" vertical="center" wrapText="1"/>
    </xf>
    <xf numFmtId="2" fontId="22" fillId="2" borderId="28" xfId="0" applyNumberFormat="1" applyFont="1" applyFill="1" applyBorder="1" applyAlignment="1" applyProtection="1">
      <alignment horizontal="center" vertical="center" wrapText="1"/>
    </xf>
    <xf numFmtId="164" fontId="22" fillId="2" borderId="40" xfId="5" applyFont="1" applyFill="1" applyBorder="1" applyAlignment="1" applyProtection="1">
      <alignment vertical="center" wrapText="1"/>
    </xf>
    <xf numFmtId="0" fontId="29" fillId="2" borderId="11" xfId="0" applyFont="1" applyFill="1" applyBorder="1" applyAlignment="1">
      <alignment vertical="top" wrapText="1"/>
    </xf>
    <xf numFmtId="0" fontId="30" fillId="2" borderId="11" xfId="0" applyFont="1" applyFill="1" applyBorder="1" applyAlignment="1">
      <alignment vertical="top" wrapText="1"/>
    </xf>
    <xf numFmtId="0" fontId="21" fillId="19" borderId="28" xfId="0" applyNumberFormat="1" applyFont="1" applyFill="1" applyBorder="1" applyAlignment="1">
      <alignment horizontal="center" vertical="center" wrapText="1"/>
    </xf>
    <xf numFmtId="0" fontId="30" fillId="2" borderId="0" xfId="0" applyFont="1" applyFill="1" applyAlignment="1">
      <alignment horizontal="left" vertical="top" wrapText="1"/>
    </xf>
    <xf numFmtId="0" fontId="21" fillId="0" borderId="11" xfId="0" applyNumberFormat="1" applyFont="1" applyFill="1" applyBorder="1" applyAlignment="1">
      <alignment horizontal="left" vertical="center" wrapText="1"/>
    </xf>
    <xf numFmtId="0" fontId="22" fillId="2" borderId="11" xfId="0" applyFont="1" applyFill="1" applyBorder="1" applyAlignment="1" applyProtection="1">
      <alignment horizontal="left" vertical="center" wrapText="1"/>
    </xf>
    <xf numFmtId="0" fontId="22" fillId="2" borderId="52" xfId="0" applyFont="1" applyFill="1" applyBorder="1" applyAlignment="1" applyProtection="1">
      <alignment horizontal="left" vertical="center" wrapText="1"/>
    </xf>
    <xf numFmtId="0" fontId="21" fillId="0" borderId="52" xfId="0" applyNumberFormat="1" applyFont="1" applyBorder="1" applyAlignment="1">
      <alignment horizontal="left" vertical="center" wrapText="1"/>
    </xf>
    <xf numFmtId="2" fontId="22" fillId="2" borderId="28" xfId="0" applyNumberFormat="1" applyFont="1" applyFill="1" applyBorder="1" applyAlignment="1" applyProtection="1">
      <alignment horizontal="center" vertical="top" wrapText="1"/>
    </xf>
    <xf numFmtId="164" fontId="22" fillId="2" borderId="7" xfId="5" applyFont="1" applyFill="1" applyBorder="1" applyAlignment="1" applyProtection="1">
      <alignment vertical="center" wrapText="1"/>
    </xf>
    <xf numFmtId="0" fontId="22" fillId="2" borderId="52" xfId="0" applyFont="1" applyFill="1" applyBorder="1" applyAlignment="1" applyProtection="1">
      <alignment horizontal="left" vertical="top" wrapText="1"/>
    </xf>
    <xf numFmtId="2" fontId="22" fillId="2" borderId="48" xfId="0" applyNumberFormat="1" applyFont="1" applyFill="1" applyBorder="1" applyAlignment="1" applyProtection="1">
      <alignment horizontal="left" vertical="top" wrapText="1"/>
    </xf>
    <xf numFmtId="0" fontId="22" fillId="19" borderId="48" xfId="0" applyFont="1" applyFill="1" applyBorder="1" applyAlignment="1" applyProtection="1">
      <alignment horizontal="center" vertical="top" wrapText="1"/>
    </xf>
    <xf numFmtId="0" fontId="22" fillId="2" borderId="48" xfId="0" applyFont="1" applyFill="1" applyBorder="1" applyAlignment="1" applyProtection="1">
      <alignment horizontal="left" vertical="top" wrapText="1"/>
    </xf>
    <xf numFmtId="0" fontId="22" fillId="2" borderId="28" xfId="0" applyFont="1" applyFill="1" applyBorder="1" applyAlignment="1" applyProtection="1">
      <alignment horizontal="center" vertical="top" wrapText="1"/>
    </xf>
    <xf numFmtId="164" fontId="21" fillId="2" borderId="16" xfId="5" applyFont="1" applyFill="1" applyBorder="1" applyAlignment="1" applyProtection="1">
      <alignment vertical="center" wrapText="1"/>
    </xf>
    <xf numFmtId="0" fontId="22" fillId="2" borderId="54" xfId="0" applyFont="1" applyFill="1" applyBorder="1" applyAlignment="1" applyProtection="1">
      <alignment horizontal="left" vertical="center" wrapText="1"/>
    </xf>
    <xf numFmtId="0" fontId="25" fillId="2" borderId="58" xfId="0" applyFont="1" applyFill="1" applyBorder="1" applyAlignment="1" applyProtection="1">
      <alignment horizontal="center" vertical="center" wrapText="1"/>
    </xf>
    <xf numFmtId="2" fontId="25" fillId="2" borderId="15" xfId="0" applyNumberFormat="1" applyFont="1" applyFill="1" applyBorder="1" applyAlignment="1" applyProtection="1">
      <alignment horizontal="center" vertical="center" wrapText="1"/>
    </xf>
    <xf numFmtId="3" fontId="25" fillId="19" borderId="15" xfId="0" applyNumberFormat="1" applyFont="1" applyFill="1" applyBorder="1" applyAlignment="1" applyProtection="1">
      <alignment horizontal="center" vertical="center" wrapText="1"/>
    </xf>
    <xf numFmtId="0" fontId="25" fillId="2" borderId="15" xfId="0" applyFont="1" applyFill="1" applyBorder="1" applyAlignment="1" applyProtection="1">
      <alignment horizontal="left" vertical="center" wrapText="1"/>
    </xf>
    <xf numFmtId="0" fontId="25" fillId="2" borderId="15" xfId="0" applyFont="1" applyFill="1" applyBorder="1" applyAlignment="1" applyProtection="1">
      <alignment horizontal="center" vertical="center" wrapText="1"/>
    </xf>
    <xf numFmtId="2" fontId="25" fillId="2" borderId="33" xfId="0" applyNumberFormat="1" applyFont="1" applyFill="1" applyBorder="1" applyAlignment="1" applyProtection="1">
      <alignment horizontal="center" vertical="top" wrapText="1"/>
    </xf>
    <xf numFmtId="164" fontId="25" fillId="2" borderId="11" xfId="0" applyNumberFormat="1" applyFont="1" applyFill="1" applyBorder="1" applyAlignment="1" applyProtection="1">
      <alignment vertical="top" wrapText="1"/>
    </xf>
    <xf numFmtId="3" fontId="22" fillId="3" borderId="0" xfId="0" applyNumberFormat="1" applyFont="1" applyFill="1" applyBorder="1" applyAlignment="1" applyProtection="1">
      <alignment horizontal="center" vertical="top" wrapText="1"/>
    </xf>
    <xf numFmtId="2" fontId="22" fillId="3" borderId="0" xfId="0" applyNumberFormat="1" applyFont="1" applyFill="1" applyBorder="1" applyAlignment="1" applyProtection="1">
      <alignment horizontal="center" vertical="top" wrapText="1"/>
    </xf>
    <xf numFmtId="0" fontId="28" fillId="2" borderId="30" xfId="0" applyFont="1" applyFill="1" applyBorder="1" applyAlignment="1">
      <alignment horizontal="center" vertical="center" wrapText="1"/>
    </xf>
    <xf numFmtId="0" fontId="28" fillId="2" borderId="59" xfId="0" applyFont="1" applyFill="1" applyBorder="1" applyAlignment="1">
      <alignment horizontal="center" vertical="center" wrapText="1"/>
    </xf>
    <xf numFmtId="0" fontId="25" fillId="2" borderId="58" xfId="0" applyFont="1" applyFill="1" applyBorder="1" applyAlignment="1" applyProtection="1">
      <alignment horizontal="left" vertical="center" wrapText="1"/>
    </xf>
    <xf numFmtId="0" fontId="25" fillId="2" borderId="59" xfId="0" applyFont="1" applyFill="1" applyBorder="1" applyAlignment="1" applyProtection="1">
      <alignment horizontal="center" vertical="center" wrapText="1"/>
    </xf>
    <xf numFmtId="0" fontId="25" fillId="2" borderId="59" xfId="0" applyFont="1" applyFill="1" applyBorder="1" applyAlignment="1" applyProtection="1">
      <alignment horizontal="left" vertical="center" wrapText="1"/>
    </xf>
    <xf numFmtId="0" fontId="25" fillId="2" borderId="16" xfId="0" applyFont="1" applyFill="1" applyBorder="1" applyAlignment="1" applyProtection="1">
      <alignment horizontal="center" vertical="center" wrapText="1"/>
    </xf>
    <xf numFmtId="0" fontId="25" fillId="2" borderId="1" xfId="0" applyFont="1" applyFill="1" applyBorder="1" applyAlignment="1" applyProtection="1">
      <alignment horizontal="center" vertical="center" wrapText="1"/>
    </xf>
    <xf numFmtId="0" fontId="27" fillId="0" borderId="57" xfId="0" applyFont="1" applyBorder="1" applyAlignment="1">
      <alignment horizontal="right" wrapText="1"/>
    </xf>
    <xf numFmtId="0" fontId="27" fillId="0" borderId="56" xfId="0" applyFont="1" applyBorder="1" applyAlignment="1">
      <alignment horizontal="center"/>
    </xf>
    <xf numFmtId="166" fontId="31" fillId="2" borderId="27" xfId="0" applyNumberFormat="1" applyFont="1" applyFill="1" applyBorder="1" applyAlignment="1">
      <alignment horizontal="right"/>
    </xf>
    <xf numFmtId="0" fontId="27" fillId="2" borderId="56" xfId="0" applyNumberFormat="1" applyFont="1" applyFill="1" applyBorder="1" applyAlignment="1">
      <alignment vertical="center"/>
    </xf>
    <xf numFmtId="0" fontId="9" fillId="2" borderId="56" xfId="0" applyFont="1" applyFill="1" applyBorder="1" applyAlignment="1">
      <alignment horizontal="center"/>
    </xf>
    <xf numFmtId="14" fontId="22" fillId="2" borderId="57" xfId="0" applyNumberFormat="1" applyFont="1" applyFill="1" applyBorder="1" applyAlignment="1" applyProtection="1">
      <alignment horizontal="center" vertical="center" wrapText="1"/>
    </xf>
    <xf numFmtId="0" fontId="30" fillId="0" borderId="52" xfId="0" applyFont="1" applyBorder="1" applyAlignment="1">
      <alignment horizontal="right" vertical="center" wrapText="1"/>
    </xf>
    <xf numFmtId="0" fontId="9" fillId="0" borderId="11" xfId="0" applyFont="1" applyBorder="1" applyAlignment="1">
      <alignment horizontal="center"/>
    </xf>
    <xf numFmtId="166" fontId="31" fillId="2" borderId="0" xfId="0" applyNumberFormat="1" applyFont="1" applyFill="1" applyAlignment="1">
      <alignment horizontal="right"/>
    </xf>
    <xf numFmtId="0" fontId="27" fillId="2" borderId="11" xfId="0" applyNumberFormat="1" applyFont="1" applyFill="1" applyBorder="1" applyAlignment="1">
      <alignment vertical="center"/>
    </xf>
    <xf numFmtId="0" fontId="9" fillId="2" borderId="11" xfId="0" applyFont="1" applyFill="1" applyBorder="1" applyAlignment="1">
      <alignment horizontal="center"/>
    </xf>
    <xf numFmtId="0" fontId="22" fillId="2" borderId="52" xfId="0" applyFont="1" applyFill="1" applyBorder="1" applyAlignment="1" applyProtection="1">
      <alignment horizontal="center" vertical="center" wrapText="1"/>
    </xf>
    <xf numFmtId="0" fontId="29" fillId="21" borderId="52" xfId="0" applyFont="1" applyFill="1" applyBorder="1" applyAlignment="1">
      <alignment horizontal="right" vertical="center" wrapText="1"/>
    </xf>
    <xf numFmtId="0" fontId="21" fillId="20" borderId="57" xfId="0" applyFont="1" applyFill="1" applyBorder="1" applyAlignment="1">
      <alignment horizontal="right" wrapText="1"/>
    </xf>
    <xf numFmtId="0" fontId="29" fillId="21" borderId="11" xfId="0" applyFont="1" applyFill="1" applyBorder="1" applyAlignment="1">
      <alignment horizontal="center"/>
    </xf>
    <xf numFmtId="166" fontId="32" fillId="21" borderId="28" xfId="0" applyNumberFormat="1" applyFont="1" applyFill="1" applyBorder="1" applyAlignment="1">
      <alignment horizontal="right"/>
    </xf>
    <xf numFmtId="0" fontId="28" fillId="21" borderId="11" xfId="0" applyFont="1" applyFill="1" applyBorder="1" applyAlignment="1">
      <alignment horizontal="center"/>
    </xf>
    <xf numFmtId="0" fontId="22" fillId="21" borderId="52" xfId="0" applyFont="1" applyFill="1" applyBorder="1" applyAlignment="1" applyProtection="1">
      <alignment horizontal="center" vertical="center" wrapText="1"/>
    </xf>
    <xf numFmtId="0" fontId="9" fillId="0" borderId="11" xfId="0" applyFont="1" applyBorder="1" applyAlignment="1">
      <alignment vertical="center" wrapText="1"/>
    </xf>
    <xf numFmtId="0" fontId="30" fillId="0" borderId="11" xfId="0" applyFont="1" applyBorder="1" applyAlignment="1">
      <alignment horizontal="right" wrapText="1"/>
    </xf>
    <xf numFmtId="166" fontId="31" fillId="2" borderId="48" xfId="0" applyNumberFormat="1" applyFont="1" applyFill="1" applyBorder="1" applyAlignment="1">
      <alignment horizontal="right"/>
    </xf>
    <xf numFmtId="14" fontId="22" fillId="2" borderId="52" xfId="0" applyNumberFormat="1" applyFont="1" applyFill="1" applyBorder="1" applyAlignment="1" applyProtection="1">
      <alignment horizontal="center" vertical="center" wrapText="1"/>
    </xf>
    <xf numFmtId="0" fontId="30" fillId="0" borderId="11" xfId="0" applyFont="1" applyBorder="1" applyAlignment="1">
      <alignment wrapText="1"/>
    </xf>
    <xf numFmtId="0" fontId="27" fillId="0" borderId="11" xfId="0" applyFont="1" applyBorder="1" applyAlignment="1">
      <alignment horizontal="center"/>
    </xf>
    <xf numFmtId="166" fontId="31" fillId="2" borderId="28" xfId="0" applyNumberFormat="1" applyFont="1" applyFill="1" applyBorder="1" applyAlignment="1">
      <alignment horizontal="right"/>
    </xf>
    <xf numFmtId="0" fontId="21" fillId="0" borderId="11" xfId="0" applyFont="1" applyBorder="1" applyAlignment="1">
      <alignment horizontal="center"/>
    </xf>
    <xf numFmtId="0" fontId="29" fillId="21" borderId="11" xfId="0" applyFont="1" applyFill="1" applyBorder="1" applyAlignment="1">
      <alignment horizontal="right" wrapText="1"/>
    </xf>
    <xf numFmtId="0" fontId="9" fillId="21" borderId="11" xfId="0" applyFont="1" applyFill="1" applyBorder="1" applyAlignment="1">
      <alignment horizontal="center" vertical="center"/>
    </xf>
    <xf numFmtId="0" fontId="28" fillId="0" borderId="11" xfId="0" applyFont="1" applyBorder="1" applyAlignment="1">
      <alignment horizontal="center"/>
    </xf>
    <xf numFmtId="166" fontId="9" fillId="0" borderId="0" xfId="0" applyNumberFormat="1" applyFont="1"/>
    <xf numFmtId="0" fontId="22" fillId="2" borderId="11" xfId="0" applyFont="1" applyFill="1" applyBorder="1" applyAlignment="1" applyProtection="1">
      <alignment horizontal="right" vertical="top" wrapText="1"/>
    </xf>
    <xf numFmtId="0" fontId="22" fillId="21" borderId="11" xfId="0" applyFont="1" applyFill="1" applyBorder="1" applyAlignment="1" applyProtection="1">
      <alignment horizontal="left" vertical="center" wrapText="1"/>
    </xf>
    <xf numFmtId="0" fontId="25" fillId="21" borderId="11" xfId="0" applyFont="1" applyFill="1" applyBorder="1" applyAlignment="1" applyProtection="1">
      <alignment horizontal="right" vertical="top" wrapText="1"/>
    </xf>
    <xf numFmtId="166" fontId="33" fillId="21" borderId="11" xfId="0" applyNumberFormat="1" applyFont="1" applyFill="1" applyBorder="1" applyAlignment="1">
      <alignment horizontal="right"/>
    </xf>
    <xf numFmtId="0" fontId="30" fillId="13" borderId="11" xfId="0" applyFont="1" applyFill="1" applyBorder="1" applyAlignment="1">
      <alignment horizontal="center" vertical="center" wrapText="1"/>
    </xf>
    <xf numFmtId="166" fontId="31" fillId="2" borderId="11" xfId="0" applyNumberFormat="1" applyFont="1" applyFill="1" applyBorder="1" applyAlignment="1">
      <alignment horizontal="right"/>
    </xf>
    <xf numFmtId="0" fontId="9" fillId="2" borderId="11" xfId="0" applyFont="1" applyFill="1" applyBorder="1" applyAlignment="1">
      <alignment horizontal="center" vertical="center"/>
    </xf>
    <xf numFmtId="167" fontId="9" fillId="0" borderId="0" xfId="0" applyNumberFormat="1" applyFont="1"/>
    <xf numFmtId="0" fontId="30" fillId="0" borderId="11" xfId="0" applyFont="1" applyBorder="1" applyAlignment="1">
      <alignment horizontal="center" vertical="center" wrapText="1"/>
    </xf>
    <xf numFmtId="0" fontId="9" fillId="0" borderId="36" xfId="0" applyFont="1" applyBorder="1" applyAlignment="1">
      <alignment horizontal="center"/>
    </xf>
    <xf numFmtId="0" fontId="27" fillId="13" borderId="11" xfId="0" applyFont="1" applyFill="1" applyBorder="1" applyAlignment="1">
      <alignment horizontal="center" vertical="center" wrapText="1"/>
    </xf>
    <xf numFmtId="166" fontId="31" fillId="2" borderId="0" xfId="0" applyNumberFormat="1" applyFont="1" applyFill="1" applyBorder="1" applyAlignment="1">
      <alignment horizontal="right"/>
    </xf>
    <xf numFmtId="166" fontId="31" fillId="2" borderId="11" xfId="6" applyNumberFormat="1" applyFont="1" applyFill="1" applyBorder="1" applyAlignment="1">
      <alignment horizontal="right"/>
    </xf>
    <xf numFmtId="0" fontId="29" fillId="21" borderId="11" xfId="0" applyFont="1" applyFill="1" applyBorder="1" applyAlignment="1">
      <alignment horizontal="center" wrapText="1"/>
    </xf>
    <xf numFmtId="0" fontId="9" fillId="0" borderId="11" xfId="0" applyFont="1" applyFill="1" applyBorder="1" applyAlignment="1">
      <alignment horizontal="right" wrapText="1"/>
    </xf>
    <xf numFmtId="0" fontId="9" fillId="0" borderId="11" xfId="0" applyFont="1" applyFill="1" applyBorder="1" applyAlignment="1">
      <alignment horizontal="center" wrapText="1"/>
    </xf>
    <xf numFmtId="0" fontId="30" fillId="2" borderId="11" xfId="0" applyFont="1" applyFill="1" applyBorder="1" applyAlignment="1">
      <alignment horizontal="right"/>
    </xf>
    <xf numFmtId="0" fontId="30" fillId="2" borderId="0" xfId="0" applyFont="1" applyFill="1" applyBorder="1" applyAlignment="1">
      <alignment horizontal="right"/>
    </xf>
    <xf numFmtId="0" fontId="28" fillId="21" borderId="11" xfId="0" applyFont="1" applyFill="1" applyBorder="1" applyAlignment="1">
      <alignment horizontal="right" wrapText="1"/>
    </xf>
    <xf numFmtId="0" fontId="28" fillId="21" borderId="11" xfId="0" applyFont="1" applyFill="1" applyBorder="1" applyAlignment="1">
      <alignment horizontal="center" wrapText="1"/>
    </xf>
    <xf numFmtId="0" fontId="28" fillId="21" borderId="11" xfId="0" applyFont="1" applyFill="1" applyBorder="1" applyAlignment="1">
      <alignment horizontal="center" vertical="center"/>
    </xf>
    <xf numFmtId="0" fontId="9" fillId="0" borderId="11" xfId="0" applyFont="1" applyBorder="1" applyAlignment="1">
      <alignment horizontal="right" wrapText="1"/>
    </xf>
    <xf numFmtId="0" fontId="9" fillId="0" borderId="11" xfId="0" applyFont="1" applyBorder="1" applyAlignment="1">
      <alignment horizontal="center" wrapText="1"/>
    </xf>
    <xf numFmtId="0" fontId="28" fillId="0" borderId="11" xfId="0" applyFont="1" applyBorder="1" applyAlignment="1">
      <alignment horizontal="right" wrapText="1"/>
    </xf>
    <xf numFmtId="0" fontId="28" fillId="0" borderId="11" xfId="0" applyFont="1" applyBorder="1" applyAlignment="1">
      <alignment horizontal="center" wrapText="1"/>
    </xf>
    <xf numFmtId="0" fontId="29" fillId="16" borderId="11" xfId="0" applyFont="1" applyFill="1" applyBorder="1" applyAlignment="1">
      <alignment horizontal="center"/>
    </xf>
    <xf numFmtId="166" fontId="33" fillId="2" borderId="11" xfId="0" applyNumberFormat="1" applyFont="1" applyFill="1" applyBorder="1" applyAlignment="1">
      <alignment horizontal="right"/>
    </xf>
    <xf numFmtId="0" fontId="28" fillId="2" borderId="11" xfId="0" applyFont="1" applyFill="1" applyBorder="1" applyAlignment="1">
      <alignment horizontal="center" vertical="center"/>
    </xf>
    <xf numFmtId="0" fontId="22" fillId="2" borderId="36" xfId="0" applyFont="1" applyFill="1" applyBorder="1" applyAlignment="1" applyProtection="1">
      <alignment vertical="center" wrapText="1"/>
    </xf>
    <xf numFmtId="0" fontId="21" fillId="21" borderId="11" xfId="0" applyFont="1" applyFill="1" applyBorder="1" applyAlignment="1">
      <alignment horizontal="center" wrapText="1"/>
    </xf>
    <xf numFmtId="0" fontId="27" fillId="0" borderId="11" xfId="0" applyFont="1" applyBorder="1" applyAlignment="1">
      <alignment horizontal="right" wrapText="1"/>
    </xf>
    <xf numFmtId="0" fontId="27" fillId="0" borderId="11" xfId="0" applyFont="1" applyBorder="1" applyAlignment="1">
      <alignment horizontal="center" wrapText="1"/>
    </xf>
    <xf numFmtId="0" fontId="27" fillId="2" borderId="11" xfId="0" applyFont="1" applyFill="1" applyBorder="1" applyAlignment="1">
      <alignment horizontal="right"/>
    </xf>
    <xf numFmtId="0" fontId="27" fillId="2" borderId="0" xfId="0" applyFont="1" applyFill="1" applyBorder="1" applyAlignment="1">
      <alignment horizontal="right"/>
    </xf>
    <xf numFmtId="0" fontId="30" fillId="0" borderId="11" xfId="0" applyFont="1" applyBorder="1" applyAlignment="1">
      <alignment vertical="center" wrapText="1"/>
    </xf>
    <xf numFmtId="0" fontId="21" fillId="0" borderId="11" xfId="0" applyFont="1" applyBorder="1" applyAlignment="1">
      <alignment horizontal="right" wrapText="1"/>
    </xf>
    <xf numFmtId="0" fontId="21" fillId="0" borderId="11" xfId="0" applyFont="1" applyBorder="1" applyAlignment="1">
      <alignment horizontal="center" wrapText="1"/>
    </xf>
    <xf numFmtId="0" fontId="29" fillId="2" borderId="11" xfId="0" applyFont="1" applyFill="1" applyBorder="1" applyAlignment="1">
      <alignment horizontal="right"/>
    </xf>
    <xf numFmtId="0" fontId="27" fillId="13" borderId="11" xfId="0" applyFont="1" applyFill="1" applyBorder="1" applyAlignment="1">
      <alignment horizontal="right" wrapText="1"/>
    </xf>
    <xf numFmtId="0" fontId="30" fillId="14" borderId="11" xfId="0" applyFont="1" applyFill="1" applyBorder="1" applyAlignment="1">
      <alignment horizontal="right" wrapText="1"/>
    </xf>
    <xf numFmtId="0" fontId="9" fillId="14" borderId="11" xfId="0" applyFont="1" applyFill="1" applyBorder="1" applyAlignment="1">
      <alignment horizontal="center"/>
    </xf>
    <xf numFmtId="0" fontId="29" fillId="14" borderId="52" xfId="0" applyFont="1" applyFill="1" applyBorder="1" applyAlignment="1">
      <alignment horizontal="right" wrapText="1"/>
    </xf>
    <xf numFmtId="0" fontId="33" fillId="2" borderId="11" xfId="0" applyFont="1" applyFill="1" applyBorder="1" applyAlignment="1">
      <alignment horizontal="right"/>
    </xf>
    <xf numFmtId="0" fontId="28" fillId="2" borderId="11" xfId="0" applyFont="1" applyFill="1" applyBorder="1" applyAlignment="1">
      <alignment horizontal="center"/>
    </xf>
    <xf numFmtId="0" fontId="27" fillId="0" borderId="52" xfId="0" applyFont="1" applyBorder="1" applyAlignment="1">
      <alignment horizontal="right" wrapText="1"/>
    </xf>
    <xf numFmtId="0" fontId="9" fillId="0" borderId="52" xfId="0" applyFont="1" applyBorder="1" applyAlignment="1">
      <alignment horizontal="right" wrapText="1"/>
    </xf>
    <xf numFmtId="0" fontId="29" fillId="0" borderId="52" xfId="0" applyFont="1" applyBorder="1" applyAlignment="1">
      <alignment horizontal="right" wrapText="1"/>
    </xf>
    <xf numFmtId="0" fontId="29" fillId="21" borderId="52" xfId="0" applyFont="1" applyFill="1" applyBorder="1" applyAlignment="1">
      <alignment horizontal="right" wrapText="1"/>
    </xf>
    <xf numFmtId="0" fontId="29" fillId="21" borderId="11" xfId="0" applyFont="1" applyFill="1" applyBorder="1" applyAlignment="1">
      <alignment horizontal="right"/>
    </xf>
    <xf numFmtId="0" fontId="30" fillId="0" borderId="52" xfId="0" applyFont="1" applyBorder="1" applyAlignment="1">
      <alignment horizontal="right" wrapText="1"/>
    </xf>
    <xf numFmtId="0" fontId="29" fillId="0" borderId="11" xfId="0" applyFont="1" applyBorder="1" applyAlignment="1">
      <alignment horizontal="center" vertical="top" wrapText="1"/>
    </xf>
    <xf numFmtId="0" fontId="30" fillId="2" borderId="11" xfId="0" applyFont="1" applyFill="1" applyBorder="1" applyAlignment="1">
      <alignment horizontal="right" wrapText="1"/>
    </xf>
    <xf numFmtId="0" fontId="29" fillId="17" borderId="11" xfId="0" applyFont="1" applyFill="1" applyBorder="1" applyAlignment="1">
      <alignment horizontal="center" vertical="top" wrapText="1"/>
    </xf>
    <xf numFmtId="0" fontId="29" fillId="2" borderId="11" xfId="0" applyFont="1" applyFill="1" applyBorder="1" applyAlignment="1">
      <alignment horizontal="right" wrapText="1"/>
    </xf>
    <xf numFmtId="0" fontId="21" fillId="2" borderId="11" xfId="0" applyNumberFormat="1" applyFont="1" applyFill="1" applyBorder="1" applyAlignment="1">
      <alignment vertical="center"/>
    </xf>
    <xf numFmtId="166" fontId="9" fillId="2" borderId="0" xfId="0" applyNumberFormat="1" applyFont="1" applyFill="1" applyAlignment="1">
      <alignment horizontal="right"/>
    </xf>
    <xf numFmtId="0" fontId="29" fillId="2" borderId="28" xfId="0" applyFont="1" applyFill="1" applyBorder="1" applyAlignment="1">
      <alignment horizontal="right"/>
    </xf>
    <xf numFmtId="0" fontId="9" fillId="0" borderId="52" xfId="0" applyFont="1" applyBorder="1" applyAlignment="1">
      <alignment wrapText="1"/>
    </xf>
    <xf numFmtId="2" fontId="9" fillId="0" borderId="0" xfId="0" applyNumberFormat="1" applyFont="1"/>
    <xf numFmtId="0" fontId="30" fillId="0" borderId="11" xfId="0" applyFont="1" applyBorder="1" applyAlignment="1">
      <alignment horizontal="center" wrapText="1"/>
    </xf>
    <xf numFmtId="0" fontId="29" fillId="0" borderId="11" xfId="0" applyFont="1" applyBorder="1" applyAlignment="1">
      <alignment horizontal="center" wrapText="1"/>
    </xf>
    <xf numFmtId="166" fontId="29" fillId="2" borderId="11" xfId="0" applyNumberFormat="1" applyFont="1" applyFill="1" applyBorder="1" applyAlignment="1">
      <alignment horizontal="right"/>
    </xf>
    <xf numFmtId="166" fontId="29" fillId="21" borderId="11" xfId="0" applyNumberFormat="1" applyFont="1" applyFill="1" applyBorder="1" applyAlignment="1">
      <alignment horizontal="right"/>
    </xf>
    <xf numFmtId="0" fontId="22" fillId="21" borderId="11" xfId="0" applyFont="1" applyFill="1" applyBorder="1" applyAlignment="1" applyProtection="1">
      <alignment horizontal="center" vertical="center" wrapText="1"/>
    </xf>
    <xf numFmtId="0" fontId="29" fillId="18" borderId="11" xfId="0" applyFont="1" applyFill="1" applyBorder="1" applyAlignment="1">
      <alignment horizontal="center"/>
    </xf>
    <xf numFmtId="166" fontId="25" fillId="2" borderId="11" xfId="0" applyNumberFormat="1" applyFont="1" applyFill="1" applyBorder="1" applyAlignment="1" applyProtection="1">
      <alignment horizontal="right" wrapText="1"/>
    </xf>
    <xf numFmtId="166" fontId="21" fillId="2" borderId="11" xfId="0" applyNumberFormat="1" applyFont="1" applyFill="1" applyBorder="1" applyAlignment="1">
      <alignment vertical="center"/>
    </xf>
    <xf numFmtId="0" fontId="25" fillId="2" borderId="11" xfId="0" applyFont="1" applyFill="1" applyBorder="1" applyAlignment="1" applyProtection="1">
      <alignment horizontal="center" vertical="top" wrapText="1"/>
    </xf>
    <xf numFmtId="0" fontId="22" fillId="2" borderId="11" xfId="0" applyFont="1" applyFill="1" applyBorder="1" applyAlignment="1" applyProtection="1">
      <alignment horizontal="center" vertical="top" wrapText="1"/>
    </xf>
    <xf numFmtId="0" fontId="22" fillId="3" borderId="22" xfId="0" applyFont="1" applyFill="1" applyBorder="1" applyAlignment="1" applyProtection="1">
      <alignment horizontal="left" vertical="center" wrapText="1"/>
    </xf>
    <xf numFmtId="0" fontId="25" fillId="3" borderId="23" xfId="0" applyFont="1" applyFill="1" applyBorder="1" applyAlignment="1" applyProtection="1">
      <alignment horizontal="left" vertical="center" wrapText="1"/>
    </xf>
    <xf numFmtId="0" fontId="25" fillId="3" borderId="23" xfId="0" applyFont="1" applyFill="1" applyBorder="1" applyAlignment="1" applyProtection="1">
      <alignment horizontal="left" vertical="top" wrapText="1"/>
    </xf>
    <xf numFmtId="0" fontId="25" fillId="3" borderId="23" xfId="0" applyFont="1" applyFill="1" applyBorder="1" applyAlignment="1" applyProtection="1">
      <alignment horizontal="center" vertical="top" wrapText="1"/>
    </xf>
    <xf numFmtId="0" fontId="22" fillId="3" borderId="23" xfId="0" applyFont="1" applyFill="1" applyBorder="1" applyAlignment="1" applyProtection="1">
      <alignment horizontal="center" vertical="top" wrapText="1"/>
    </xf>
    <xf numFmtId="0" fontId="22" fillId="3" borderId="24" xfId="0" applyFont="1" applyFill="1" applyBorder="1" applyAlignment="1" applyProtection="1">
      <alignment vertical="top" wrapText="1"/>
    </xf>
    <xf numFmtId="0" fontId="22" fillId="0" borderId="0" xfId="0" applyFont="1" applyFill="1" applyBorder="1" applyAlignment="1" applyProtection="1">
      <alignment horizontal="left" vertical="center" wrapText="1"/>
    </xf>
    <xf numFmtId="0" fontId="25" fillId="0" borderId="18" xfId="0" applyFont="1" applyFill="1" applyBorder="1" applyAlignment="1" applyProtection="1">
      <alignment horizontal="left" vertical="center" wrapText="1"/>
    </xf>
    <xf numFmtId="0" fontId="22" fillId="0" borderId="0" xfId="0" applyFont="1" applyFill="1" applyBorder="1" applyAlignment="1" applyProtection="1">
      <alignment horizontal="center" vertical="top" wrapText="1"/>
    </xf>
    <xf numFmtId="0" fontId="9" fillId="0" borderId="0" xfId="0" applyFont="1" applyAlignment="1">
      <alignment wrapText="1"/>
    </xf>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left" vertical="top" wrapText="1"/>
    </xf>
    <xf numFmtId="0" fontId="25" fillId="2"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2" borderId="0" xfId="0" applyFont="1" applyFill="1" applyBorder="1" applyAlignment="1" applyProtection="1">
      <alignment horizontal="left" vertical="top" wrapText="1"/>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left"/>
    </xf>
    <xf numFmtId="0" fontId="22" fillId="0" borderId="0" xfId="0" applyFont="1" applyFill="1" applyBorder="1" applyAlignment="1" applyProtection="1">
      <alignment horizontal="center"/>
    </xf>
    <xf numFmtId="0" fontId="22" fillId="2" borderId="0" xfId="0" applyFont="1" applyFill="1" applyBorder="1" applyAlignment="1" applyProtection="1">
      <alignment horizontal="left"/>
    </xf>
    <xf numFmtId="2" fontId="27" fillId="2" borderId="37" xfId="0" applyNumberFormat="1" applyFont="1" applyFill="1" applyBorder="1" applyAlignment="1" applyProtection="1">
      <alignment horizontal="center" vertical="center" wrapText="1"/>
    </xf>
    <xf numFmtId="2" fontId="25" fillId="2" borderId="11" xfId="0" applyNumberFormat="1" applyFont="1" applyFill="1" applyBorder="1" applyAlignment="1" applyProtection="1">
      <alignment horizontal="center" vertical="center" wrapText="1"/>
    </xf>
    <xf numFmtId="0" fontId="9" fillId="0" borderId="0" xfId="0" applyFont="1" applyAlignment="1"/>
    <xf numFmtId="0" fontId="22" fillId="3" borderId="17" xfId="0" applyFont="1" applyFill="1" applyBorder="1" applyProtection="1"/>
    <xf numFmtId="0" fontId="22" fillId="3" borderId="18" xfId="0" applyFont="1" applyFill="1" applyBorder="1" applyAlignment="1" applyProtection="1">
      <alignment horizontal="left" vertical="center"/>
    </xf>
    <xf numFmtId="0" fontId="22" fillId="3" borderId="18" xfId="0" applyFont="1" applyFill="1" applyBorder="1" applyProtection="1"/>
    <xf numFmtId="0" fontId="9" fillId="3" borderId="18" xfId="0" applyFont="1" applyFill="1" applyBorder="1" applyAlignment="1"/>
    <xf numFmtId="0" fontId="22" fillId="3" borderId="19" xfId="0" applyFont="1" applyFill="1" applyBorder="1" applyProtection="1"/>
    <xf numFmtId="0" fontId="9" fillId="3" borderId="20" xfId="0" applyFont="1" applyFill="1" applyBorder="1"/>
    <xf numFmtId="0" fontId="21" fillId="3" borderId="21" xfId="0" applyFont="1" applyFill="1" applyBorder="1" applyAlignment="1" applyProtection="1"/>
    <xf numFmtId="0" fontId="22" fillId="3" borderId="20" xfId="0" applyFont="1" applyFill="1" applyBorder="1" applyProtection="1"/>
    <xf numFmtId="0" fontId="22" fillId="3" borderId="21" xfId="0" applyFont="1" applyFill="1" applyBorder="1" applyProtection="1"/>
    <xf numFmtId="0" fontId="34" fillId="3" borderId="0" xfId="0" applyFont="1" applyFill="1" applyBorder="1" applyAlignment="1" applyProtection="1">
      <alignment horizontal="center" wrapText="1"/>
    </xf>
    <xf numFmtId="0" fontId="22" fillId="3" borderId="0" xfId="0" applyFont="1" applyFill="1" applyBorder="1" applyProtection="1"/>
    <xf numFmtId="0" fontId="9" fillId="3" borderId="0" xfId="0" applyFont="1" applyFill="1" applyBorder="1" applyAlignment="1"/>
    <xf numFmtId="0" fontId="25" fillId="3" borderId="0" xfId="0" applyFont="1" applyFill="1" applyBorder="1" applyAlignment="1" applyProtection="1">
      <alignment horizontal="center" vertical="center" wrapText="1"/>
    </xf>
    <xf numFmtId="0" fontId="22" fillId="3" borderId="20" xfId="0" applyFont="1" applyFill="1" applyBorder="1" applyAlignment="1" applyProtection="1">
      <alignment horizontal="left" vertical="center"/>
    </xf>
    <xf numFmtId="0" fontId="25" fillId="3" borderId="21" xfId="0" applyFont="1" applyFill="1" applyBorder="1" applyAlignment="1" applyProtection="1">
      <alignment horizontal="left" vertical="center" wrapText="1"/>
    </xf>
    <xf numFmtId="0" fontId="9" fillId="0" borderId="0" xfId="0" applyFont="1" applyAlignment="1">
      <alignment horizontal="left" vertical="top" wrapText="1"/>
    </xf>
    <xf numFmtId="0" fontId="36" fillId="2" borderId="1" xfId="0" applyFont="1" applyFill="1" applyBorder="1" applyAlignment="1">
      <alignment horizontal="center" vertical="center"/>
    </xf>
    <xf numFmtId="0" fontId="22" fillId="3" borderId="21" xfId="0" applyFont="1" applyFill="1" applyBorder="1" applyAlignment="1" applyProtection="1">
      <alignment horizontal="left" vertical="center"/>
    </xf>
    <xf numFmtId="0" fontId="9" fillId="2" borderId="1" xfId="0" applyFont="1" applyFill="1" applyBorder="1" applyAlignment="1">
      <alignment horizontal="left"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9" fillId="0" borderId="0" xfId="0" applyFont="1" applyAlignment="1">
      <alignment vertical="center" wrapText="1"/>
    </xf>
    <xf numFmtId="0" fontId="22" fillId="2" borderId="21" xfId="0" applyFont="1" applyFill="1" applyBorder="1" applyAlignment="1" applyProtection="1">
      <alignment vertical="center" wrapText="1"/>
    </xf>
    <xf numFmtId="0" fontId="27" fillId="0" borderId="0" xfId="0" applyFont="1" applyAlignment="1">
      <alignment vertical="center" wrapText="1"/>
    </xf>
    <xf numFmtId="0" fontId="40" fillId="2" borderId="1" xfId="0" applyFont="1" applyFill="1" applyBorder="1" applyAlignment="1">
      <alignment horizontal="center" vertical="center"/>
    </xf>
    <xf numFmtId="0" fontId="41" fillId="2" borderId="11" xfId="0" applyFont="1" applyFill="1" applyBorder="1" applyAlignment="1" applyProtection="1">
      <alignment horizontal="center" vertical="center" wrapText="1"/>
    </xf>
    <xf numFmtId="0" fontId="22" fillId="2" borderId="29" xfId="0" applyFont="1" applyFill="1" applyBorder="1" applyAlignment="1" applyProtection="1">
      <alignment horizontal="center" vertical="center" wrapText="1"/>
    </xf>
    <xf numFmtId="0" fontId="9" fillId="2" borderId="1" xfId="0" applyFont="1" applyFill="1" applyBorder="1" applyAlignment="1"/>
    <xf numFmtId="0" fontId="22" fillId="5" borderId="14" xfId="0" applyFont="1" applyFill="1" applyBorder="1" applyAlignment="1" applyProtection="1">
      <alignment horizontal="left" vertical="center"/>
    </xf>
    <xf numFmtId="0" fontId="22" fillId="5" borderId="0" xfId="0" applyFont="1" applyFill="1" applyBorder="1" applyAlignment="1" applyProtection="1">
      <alignment horizontal="right" vertical="center"/>
    </xf>
    <xf numFmtId="0" fontId="38" fillId="3" borderId="11" xfId="0" applyFont="1" applyFill="1" applyBorder="1" applyAlignment="1" applyProtection="1">
      <alignment horizontal="left" vertical="center"/>
    </xf>
    <xf numFmtId="0" fontId="26" fillId="3" borderId="0" xfId="0" applyFont="1" applyFill="1" applyBorder="1" applyAlignment="1" applyProtection="1">
      <alignment horizontal="left"/>
    </xf>
    <xf numFmtId="0" fontId="22" fillId="3" borderId="0" xfId="0" applyFont="1" applyFill="1" applyBorder="1" applyAlignment="1" applyProtection="1">
      <alignment horizontal="right" vertical="center"/>
    </xf>
    <xf numFmtId="0" fontId="34" fillId="3" borderId="0" xfId="0" applyFont="1" applyFill="1" applyBorder="1" applyAlignment="1" applyProtection="1">
      <alignment horizontal="left" vertical="center" wrapText="1"/>
    </xf>
    <xf numFmtId="0" fontId="9" fillId="3" borderId="0" xfId="0" applyFont="1" applyFill="1" applyAlignment="1">
      <alignment horizontal="right"/>
    </xf>
    <xf numFmtId="0" fontId="22" fillId="3" borderId="0" xfId="0" applyFont="1" applyFill="1" applyBorder="1" applyAlignment="1" applyProtection="1">
      <alignment horizontal="right"/>
    </xf>
    <xf numFmtId="0" fontId="9" fillId="3" borderId="0" xfId="0" applyFont="1" applyFill="1" applyBorder="1" applyAlignment="1">
      <alignment horizontal="center" vertical="center"/>
    </xf>
    <xf numFmtId="0" fontId="22" fillId="3" borderId="38" xfId="0" applyFont="1" applyFill="1" applyBorder="1" applyAlignment="1" applyProtection="1">
      <alignment horizontal="left" vertical="center"/>
    </xf>
    <xf numFmtId="0" fontId="34" fillId="3" borderId="22" xfId="0" applyFont="1" applyFill="1" applyBorder="1" applyAlignment="1" applyProtection="1">
      <alignment horizontal="left" vertical="center" wrapText="1"/>
    </xf>
    <xf numFmtId="0" fontId="34" fillId="3" borderId="23" xfId="0" applyFont="1" applyFill="1" applyBorder="1" applyAlignment="1" applyProtection="1">
      <alignment horizontal="left" vertical="center" wrapText="1"/>
    </xf>
    <xf numFmtId="0" fontId="9" fillId="3" borderId="24" xfId="0" applyFont="1" applyFill="1" applyBorder="1" applyAlignment="1"/>
    <xf numFmtId="0" fontId="25" fillId="3" borderId="23" xfId="0" applyFont="1" applyFill="1" applyBorder="1" applyAlignment="1" applyProtection="1">
      <alignment horizontal="center" vertical="center" wrapText="1"/>
    </xf>
    <xf numFmtId="0" fontId="43" fillId="3" borderId="0" xfId="0" applyFont="1" applyFill="1" applyBorder="1" applyAlignment="1" applyProtection="1">
      <alignment horizontal="left" vertical="center"/>
    </xf>
    <xf numFmtId="0" fontId="9" fillId="0" borderId="11" xfId="0" applyFont="1" applyBorder="1" applyAlignment="1">
      <alignment horizontal="left" wrapText="1"/>
    </xf>
    <xf numFmtId="0" fontId="44" fillId="2" borderId="11" xfId="0" applyFont="1" applyFill="1" applyBorder="1" applyAlignment="1">
      <alignment horizontal="center" vertical="center"/>
    </xf>
    <xf numFmtId="0" fontId="22" fillId="2" borderId="22" xfId="0" applyFont="1" applyFill="1" applyBorder="1" applyAlignment="1" applyProtection="1">
      <alignment horizontal="center" vertical="center" wrapText="1"/>
    </xf>
    <xf numFmtId="0" fontId="9" fillId="0" borderId="1" xfId="0" applyFont="1" applyFill="1" applyBorder="1" applyAlignment="1">
      <alignment horizontal="left" wrapText="1"/>
    </xf>
    <xf numFmtId="0" fontId="44" fillId="0" borderId="1" xfId="0" applyFont="1" applyFill="1" applyBorder="1" applyAlignment="1">
      <alignment horizontal="center" vertical="center"/>
    </xf>
    <xf numFmtId="0" fontId="27" fillId="2" borderId="1" xfId="0" applyFont="1" applyFill="1" applyBorder="1" applyAlignment="1" applyProtection="1">
      <alignment horizontal="left" vertical="top" wrapText="1"/>
    </xf>
    <xf numFmtId="0" fontId="46" fillId="2" borderId="1" xfId="0" applyFont="1" applyFill="1" applyBorder="1" applyAlignment="1">
      <alignment horizontal="center" vertical="center"/>
    </xf>
    <xf numFmtId="0" fontId="27" fillId="2" borderId="1" xfId="0" applyFont="1" applyFill="1" applyBorder="1" applyAlignment="1">
      <alignment vertical="center" wrapText="1"/>
    </xf>
    <xf numFmtId="0" fontId="47" fillId="2" borderId="1" xfId="0" applyFont="1" applyFill="1" applyBorder="1" applyAlignment="1">
      <alignment vertical="center" wrapText="1"/>
    </xf>
    <xf numFmtId="0" fontId="48" fillId="2" borderId="1" xfId="0" applyFont="1" applyFill="1" applyBorder="1" applyAlignment="1">
      <alignment horizontal="center" vertical="center"/>
    </xf>
    <xf numFmtId="0" fontId="9" fillId="2" borderId="1" xfId="0" applyFont="1" applyFill="1" applyBorder="1" applyAlignment="1">
      <alignment vertical="top" wrapText="1"/>
    </xf>
    <xf numFmtId="0" fontId="49" fillId="2" borderId="1" xfId="0" applyFont="1" applyFill="1" applyBorder="1" applyAlignment="1">
      <alignment vertical="center" wrapText="1"/>
    </xf>
    <xf numFmtId="0" fontId="9" fillId="2" borderId="11" xfId="0" applyFont="1" applyFill="1" applyBorder="1" applyAlignment="1" applyProtection="1">
      <alignment horizontal="left" vertical="top" wrapText="1"/>
    </xf>
    <xf numFmtId="0" fontId="25" fillId="2" borderId="39"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0" fontId="26" fillId="3" borderId="0" xfId="0" applyFont="1" applyFill="1" applyBorder="1" applyAlignment="1" applyProtection="1"/>
    <xf numFmtId="0" fontId="9" fillId="3" borderId="0" xfId="0" applyFont="1" applyFill="1"/>
    <xf numFmtId="0" fontId="22" fillId="2" borderId="39" xfId="0" applyFont="1" applyFill="1" applyBorder="1" applyAlignment="1" applyProtection="1">
      <alignment horizontal="center" vertical="center" wrapText="1"/>
    </xf>
    <xf numFmtId="0" fontId="22" fillId="5" borderId="1" xfId="0" applyFont="1" applyFill="1" applyBorder="1" applyAlignment="1" applyProtection="1">
      <alignment horizontal="center" vertical="center"/>
    </xf>
    <xf numFmtId="0" fontId="22" fillId="2" borderId="15" xfId="0" applyFont="1" applyFill="1" applyBorder="1" applyAlignment="1" applyProtection="1">
      <alignment horizontal="center"/>
      <protection locked="0"/>
    </xf>
    <xf numFmtId="0" fontId="22" fillId="2" borderId="29" xfId="0" applyFont="1" applyFill="1" applyBorder="1" applyAlignment="1" applyProtection="1">
      <alignment horizontal="center"/>
      <protection locked="0"/>
    </xf>
    <xf numFmtId="0" fontId="22" fillId="2" borderId="39" xfId="0" applyFont="1" applyFill="1" applyBorder="1" applyAlignment="1" applyProtection="1">
      <alignment horizontal="center"/>
      <protection locked="0"/>
    </xf>
    <xf numFmtId="0" fontId="22" fillId="2" borderId="17" xfId="0" applyFont="1" applyFill="1" applyBorder="1" applyAlignment="1" applyProtection="1">
      <alignment horizontal="center"/>
      <protection locked="0"/>
    </xf>
    <xf numFmtId="0" fontId="22" fillId="2" borderId="18" xfId="0" applyFont="1" applyFill="1" applyBorder="1" applyAlignment="1" applyProtection="1">
      <alignment horizontal="center"/>
      <protection locked="0"/>
    </xf>
    <xf numFmtId="0" fontId="22" fillId="3" borderId="11" xfId="0" applyFont="1" applyFill="1" applyBorder="1" applyAlignment="1" applyProtection="1">
      <alignment horizontal="left" vertical="center"/>
    </xf>
    <xf numFmtId="0" fontId="22" fillId="3" borderId="36" xfId="0" applyFont="1" applyFill="1" applyBorder="1" applyAlignment="1" applyProtection="1">
      <alignment horizontal="left" vertical="center"/>
    </xf>
    <xf numFmtId="0" fontId="34" fillId="0" borderId="15" xfId="0" applyFont="1" applyFill="1" applyBorder="1" applyAlignment="1" applyProtection="1">
      <alignment horizontal="center" vertical="center" wrapText="1"/>
    </xf>
    <xf numFmtId="0" fontId="34" fillId="0" borderId="29" xfId="0" applyFont="1" applyFill="1" applyBorder="1" applyAlignment="1" applyProtection="1">
      <alignment horizontal="center" vertical="center" wrapText="1"/>
    </xf>
    <xf numFmtId="0" fontId="9" fillId="3" borderId="0" xfId="0" applyFont="1" applyFill="1" applyAlignment="1">
      <alignment horizontal="left" vertical="center"/>
    </xf>
    <xf numFmtId="0" fontId="34" fillId="0" borderId="11" xfId="0" applyFont="1" applyFill="1" applyBorder="1" applyAlignment="1" applyProtection="1">
      <alignment horizontal="center" vertical="center" wrapText="1"/>
    </xf>
    <xf numFmtId="0" fontId="23" fillId="3" borderId="0" xfId="0" applyFont="1" applyFill="1" applyBorder="1" applyAlignment="1" applyProtection="1">
      <alignment vertical="top" wrapText="1"/>
    </xf>
    <xf numFmtId="0" fontId="25" fillId="3" borderId="0" xfId="0" applyFont="1" applyFill="1" applyBorder="1" applyProtection="1"/>
    <xf numFmtId="0" fontId="22" fillId="2" borderId="2" xfId="0" applyFont="1" applyFill="1" applyBorder="1" applyAlignment="1" applyProtection="1">
      <alignment horizontal="left" vertical="top" wrapText="1"/>
    </xf>
    <xf numFmtId="0" fontId="22" fillId="2" borderId="3" xfId="0" applyFont="1" applyFill="1" applyBorder="1" applyAlignment="1" applyProtection="1">
      <alignment horizontal="left" vertical="top" wrapText="1"/>
    </xf>
    <xf numFmtId="0" fontId="22" fillId="2" borderId="4" xfId="0" applyFont="1" applyFill="1" applyBorder="1" applyAlignment="1" applyProtection="1">
      <alignment horizontal="left" vertical="top" wrapText="1"/>
    </xf>
    <xf numFmtId="0" fontId="22" fillId="3" borderId="23" xfId="0" applyFont="1" applyFill="1" applyBorder="1" applyAlignment="1" applyProtection="1">
      <alignment vertical="top" wrapText="1"/>
    </xf>
    <xf numFmtId="0" fontId="9" fillId="3" borderId="23" xfId="0" applyFont="1" applyFill="1" applyBorder="1" applyAlignment="1"/>
    <xf numFmtId="0" fontId="9" fillId="3" borderId="23" xfId="0" applyFont="1" applyFill="1" applyBorder="1" applyAlignment="1">
      <alignment horizontal="center" vertical="center"/>
    </xf>
    <xf numFmtId="0" fontId="22" fillId="3" borderId="24" xfId="0" applyFont="1" applyFill="1" applyBorder="1" applyProtection="1"/>
    <xf numFmtId="0" fontId="22" fillId="3" borderId="22" xfId="0" applyFont="1" applyFill="1" applyBorder="1" applyProtection="1"/>
    <xf numFmtId="0" fontId="22" fillId="3" borderId="23" xfId="0" applyFont="1" applyFill="1" applyBorder="1" applyAlignment="1" applyProtection="1">
      <alignment horizontal="left" vertical="center" wrapText="1"/>
    </xf>
    <xf numFmtId="0" fontId="9" fillId="0" borderId="0" xfId="0" applyFont="1" applyAlignment="1">
      <alignment horizontal="center" vertical="center"/>
    </xf>
    <xf numFmtId="0" fontId="13" fillId="0" borderId="0" xfId="0" applyFont="1"/>
    <xf numFmtId="0" fontId="13" fillId="0" borderId="0" xfId="0" applyFont="1" applyAlignment="1">
      <alignment vertical="top"/>
    </xf>
    <xf numFmtId="0" fontId="13" fillId="3" borderId="17" xfId="0" applyFont="1" applyFill="1" applyBorder="1"/>
    <xf numFmtId="0" fontId="13" fillId="3" borderId="18" xfId="0" applyFont="1" applyFill="1" applyBorder="1" applyAlignment="1">
      <alignment vertical="top"/>
    </xf>
    <xf numFmtId="0" fontId="13" fillId="3" borderId="18" xfId="0" applyFont="1" applyFill="1" applyBorder="1"/>
    <xf numFmtId="0" fontId="13" fillId="3" borderId="19" xfId="0" applyFont="1" applyFill="1" applyBorder="1"/>
    <xf numFmtId="0" fontId="13" fillId="3" borderId="20" xfId="0" applyFont="1" applyFill="1" applyBorder="1"/>
    <xf numFmtId="0" fontId="10" fillId="3" borderId="21" xfId="0" applyFont="1" applyFill="1" applyBorder="1" applyAlignment="1" applyProtection="1">
      <alignment vertical="top" wrapText="1"/>
    </xf>
    <xf numFmtId="0" fontId="10" fillId="3" borderId="20" xfId="0" applyFont="1" applyFill="1" applyBorder="1" applyAlignment="1" applyProtection="1">
      <alignment vertical="top" wrapText="1"/>
    </xf>
    <xf numFmtId="0" fontId="10" fillId="3" borderId="0" xfId="0" applyFont="1" applyFill="1" applyBorder="1" applyAlignment="1" applyProtection="1">
      <alignment vertical="top"/>
    </xf>
    <xf numFmtId="0" fontId="10" fillId="3" borderId="0" xfId="0" applyFont="1" applyFill="1" applyBorder="1" applyAlignment="1" applyProtection="1">
      <alignment vertical="top" wrapText="1"/>
    </xf>
    <xf numFmtId="0" fontId="10" fillId="3" borderId="0" xfId="0" applyFont="1" applyFill="1" applyBorder="1" applyProtection="1"/>
    <xf numFmtId="0" fontId="15" fillId="3" borderId="0"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0" fillId="2" borderId="13" xfId="0" applyFont="1" applyFill="1" applyBorder="1" applyAlignment="1" applyProtection="1">
      <alignment vertical="top" wrapText="1"/>
    </xf>
    <xf numFmtId="0" fontId="54" fillId="0" borderId="1" xfId="0" applyFont="1" applyBorder="1" applyAlignment="1">
      <alignment vertical="top" wrapText="1"/>
    </xf>
    <xf numFmtId="0" fontId="10" fillId="2" borderId="1" xfId="0" applyFont="1" applyFill="1" applyBorder="1" applyAlignment="1" applyProtection="1">
      <alignment vertical="top" wrapText="1"/>
    </xf>
    <xf numFmtId="0" fontId="9" fillId="0" borderId="1" xfId="0" applyFont="1" applyFill="1" applyBorder="1" applyAlignment="1">
      <alignment vertical="top" wrapText="1"/>
    </xf>
    <xf numFmtId="0" fontId="10" fillId="0" borderId="1" xfId="0" applyFont="1" applyFill="1" applyBorder="1" applyAlignment="1" applyProtection="1">
      <alignment vertical="top" wrapText="1"/>
    </xf>
    <xf numFmtId="0" fontId="9" fillId="0" borderId="1" xfId="0" applyFont="1" applyBorder="1" applyAlignment="1">
      <alignment vertical="top"/>
    </xf>
    <xf numFmtId="0" fontId="9" fillId="0" borderId="1" xfId="0" applyFont="1" applyFill="1" applyBorder="1" applyAlignment="1">
      <alignment horizontal="justify" vertical="top"/>
    </xf>
    <xf numFmtId="0" fontId="10" fillId="0" borderId="0" xfId="0" applyFont="1" applyAlignment="1">
      <alignment vertical="center" wrapText="1"/>
    </xf>
    <xf numFmtId="0" fontId="27" fillId="0" borderId="1" xfId="0" applyFont="1" applyFill="1" applyBorder="1" applyAlignment="1">
      <alignment vertical="top" wrapText="1"/>
    </xf>
    <xf numFmtId="0" fontId="10" fillId="0" borderId="13"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2" fillId="3" borderId="22" xfId="0" applyFont="1" applyFill="1" applyBorder="1" applyAlignment="1" applyProtection="1">
      <alignment vertical="top" wrapText="1"/>
    </xf>
    <xf numFmtId="0" fontId="12" fillId="3" borderId="23" xfId="0" applyFont="1" applyFill="1" applyBorder="1" applyAlignment="1" applyProtection="1">
      <alignment vertical="top" wrapText="1"/>
    </xf>
    <xf numFmtId="0" fontId="12" fillId="3" borderId="24" xfId="0" applyFont="1" applyFill="1" applyBorder="1" applyAlignment="1" applyProtection="1">
      <alignment vertical="top" wrapText="1"/>
    </xf>
    <xf numFmtId="0" fontId="12" fillId="0" borderId="0" xfId="0" applyFont="1" applyFill="1" applyBorder="1" applyAlignment="1" applyProtection="1">
      <alignment vertical="top" wrapText="1"/>
    </xf>
    <xf numFmtId="0" fontId="16" fillId="0" borderId="0" xfId="0" applyFont="1" applyFill="1" applyBorder="1" applyAlignment="1" applyProtection="1">
      <alignment vertical="top" wrapText="1"/>
    </xf>
    <xf numFmtId="0" fontId="12" fillId="0" borderId="0" xfId="0" applyFont="1" applyFill="1" applyBorder="1" applyAlignment="1" applyProtection="1">
      <alignment vertical="top"/>
    </xf>
    <xf numFmtId="0" fontId="12" fillId="0" borderId="0" xfId="0" applyFont="1" applyFill="1" applyBorder="1" applyAlignment="1" applyProtection="1"/>
    <xf numFmtId="0" fontId="12" fillId="0" borderId="0" xfId="0" applyFont="1" applyFill="1" applyBorder="1" applyProtection="1"/>
    <xf numFmtId="0" fontId="21" fillId="3" borderId="0" xfId="0" applyFont="1" applyFill="1" applyBorder="1" applyAlignment="1" applyProtection="1"/>
    <xf numFmtId="0" fontId="15" fillId="2" borderId="8" xfId="0" applyFont="1" applyFill="1" applyBorder="1" applyAlignment="1" applyProtection="1">
      <alignment horizontal="left" vertical="top" wrapText="1"/>
    </xf>
    <xf numFmtId="0" fontId="15" fillId="2" borderId="10" xfId="0" applyFont="1" applyFill="1" applyBorder="1" applyAlignment="1" applyProtection="1">
      <alignment horizontal="left" vertical="top" wrapText="1"/>
    </xf>
    <xf numFmtId="0" fontId="15" fillId="2" borderId="37"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11" xfId="0" applyFont="1" applyFill="1" applyBorder="1" applyAlignment="1" applyProtection="1">
      <alignment horizontal="left" vertical="top" wrapText="1"/>
    </xf>
    <xf numFmtId="0" fontId="15" fillId="2" borderId="28"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66" xfId="0" applyFont="1" applyFill="1" applyBorder="1" applyAlignment="1" applyProtection="1">
      <alignment horizontal="left" vertical="top" wrapText="1"/>
    </xf>
    <xf numFmtId="0" fontId="15" fillId="2" borderId="36" xfId="0" applyFont="1" applyFill="1" applyBorder="1" applyAlignment="1" applyProtection="1">
      <alignment horizontal="left" vertical="top" wrapText="1"/>
    </xf>
    <xf numFmtId="0" fontId="8" fillId="0" borderId="0" xfId="0" applyFont="1" applyAlignment="1">
      <alignment horizontal="center" vertical="center"/>
    </xf>
    <xf numFmtId="0" fontId="15" fillId="2" borderId="32" xfId="0" applyFont="1" applyFill="1" applyBorder="1" applyAlignment="1" applyProtection="1">
      <alignment horizontal="center" vertical="center" wrapText="1"/>
    </xf>
    <xf numFmtId="0" fontId="8" fillId="0" borderId="11" xfId="0" applyFont="1" applyBorder="1" applyAlignment="1">
      <alignment horizontal="center" vertical="center"/>
    </xf>
    <xf numFmtId="3" fontId="15" fillId="2" borderId="34" xfId="0" applyNumberFormat="1" applyFont="1" applyFill="1" applyBorder="1" applyAlignment="1" applyProtection="1">
      <alignment horizontal="center" vertical="top" wrapText="1"/>
    </xf>
    <xf numFmtId="0" fontId="15" fillId="2" borderId="36" xfId="0" applyFont="1" applyFill="1" applyBorder="1" applyAlignment="1" applyProtection="1">
      <alignment vertical="top" wrapText="1"/>
    </xf>
    <xf numFmtId="0" fontId="15" fillId="2" borderId="32" xfId="0" applyFont="1" applyFill="1" applyBorder="1" applyAlignment="1" applyProtection="1">
      <alignment horizontal="center" vertical="top" wrapText="1"/>
    </xf>
    <xf numFmtId="0" fontId="15" fillId="2" borderId="36" xfId="0" applyFont="1" applyFill="1" applyBorder="1" applyAlignment="1" applyProtection="1">
      <alignment horizontal="center" vertical="center" wrapText="1"/>
    </xf>
    <xf numFmtId="0" fontId="15" fillId="2" borderId="34" xfId="0" applyFont="1" applyFill="1" applyBorder="1" applyAlignment="1" applyProtection="1">
      <alignment horizontal="center" vertical="top" wrapText="1"/>
    </xf>
    <xf numFmtId="0" fontId="10" fillId="2" borderId="11" xfId="0" applyFont="1" applyFill="1" applyBorder="1" applyAlignment="1" applyProtection="1">
      <alignment vertical="top" wrapText="1"/>
    </xf>
    <xf numFmtId="0" fontId="15" fillId="2" borderId="11" xfId="0" applyFont="1" applyFill="1" applyBorder="1" applyAlignment="1" applyProtection="1">
      <alignment horizontal="center" vertical="top" wrapText="1"/>
    </xf>
    <xf numFmtId="0" fontId="15" fillId="2" borderId="11" xfId="0" applyFont="1" applyFill="1" applyBorder="1" applyAlignment="1" applyProtection="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15" fillId="2" borderId="11" xfId="0" applyFont="1" applyFill="1" applyBorder="1" applyAlignment="1" applyProtection="1">
      <alignment vertical="top" wrapText="1"/>
    </xf>
    <xf numFmtId="0" fontId="10" fillId="2" borderId="0" xfId="0" applyFont="1" applyFill="1" applyBorder="1" applyAlignment="1" applyProtection="1">
      <alignment horizontal="left" vertical="top" wrapText="1"/>
    </xf>
    <xf numFmtId="0" fontId="10" fillId="2" borderId="0" xfId="0" applyFont="1" applyFill="1" applyBorder="1" applyAlignment="1" applyProtection="1">
      <alignment vertical="top" wrapText="1"/>
    </xf>
    <xf numFmtId="0" fontId="10" fillId="3" borderId="0" xfId="0" applyFont="1" applyFill="1" applyBorder="1" applyAlignment="1" applyProtection="1">
      <alignment horizontal="left" vertical="top" wrapText="1"/>
    </xf>
    <xf numFmtId="0" fontId="53" fillId="3" borderId="0" xfId="0" applyFont="1" applyFill="1" applyBorder="1" applyAlignment="1" applyProtection="1">
      <alignment horizontal="left" vertical="center" wrapText="1"/>
    </xf>
    <xf numFmtId="0" fontId="15" fillId="2" borderId="17" xfId="0" applyFont="1" applyFill="1" applyBorder="1" applyAlignment="1" applyProtection="1">
      <alignment vertical="top" wrapText="1"/>
    </xf>
    <xf numFmtId="0" fontId="15" fillId="3" borderId="38" xfId="0" applyFont="1" applyFill="1" applyBorder="1" applyAlignment="1" applyProtection="1">
      <alignment horizontal="center" vertical="center" wrapText="1"/>
    </xf>
    <xf numFmtId="0" fontId="15" fillId="3" borderId="21" xfId="0" applyFont="1" applyFill="1" applyBorder="1" applyAlignment="1">
      <alignment horizontal="center"/>
    </xf>
    <xf numFmtId="0" fontId="13" fillId="0" borderId="0" xfId="0" applyFont="1" applyFill="1" applyBorder="1"/>
    <xf numFmtId="0" fontId="10" fillId="3" borderId="22" xfId="0" applyFont="1" applyFill="1" applyBorder="1" applyAlignment="1" applyProtection="1">
      <alignment vertical="top" wrapText="1"/>
    </xf>
    <xf numFmtId="0" fontId="10" fillId="3" borderId="23" xfId="0" applyFont="1" applyFill="1" applyBorder="1" applyAlignment="1" applyProtection="1">
      <alignment vertical="top" wrapText="1"/>
    </xf>
    <xf numFmtId="0" fontId="10" fillId="3" borderId="24" xfId="0" applyFont="1" applyFill="1" applyBorder="1" applyAlignment="1" applyProtection="1">
      <alignment vertical="top" wrapText="1"/>
    </xf>
    <xf numFmtId="0" fontId="57" fillId="0" borderId="0" xfId="0" applyFont="1" applyFill="1" applyBorder="1" applyAlignment="1" applyProtection="1">
      <alignment vertical="top" wrapText="1"/>
    </xf>
    <xf numFmtId="3" fontId="12" fillId="0" borderId="0" xfId="0" applyNumberFormat="1" applyFont="1" applyFill="1" applyBorder="1" applyAlignment="1" applyProtection="1">
      <alignment vertical="top" wrapText="1"/>
      <protection locked="0"/>
    </xf>
    <xf numFmtId="0" fontId="12" fillId="0" borderId="0" xfId="0" applyFont="1" applyFill="1" applyBorder="1" applyAlignment="1" applyProtection="1">
      <alignment vertical="top" wrapText="1"/>
      <protection locked="0"/>
    </xf>
    <xf numFmtId="0" fontId="12" fillId="3" borderId="17" xfId="0" applyFont="1" applyFill="1" applyBorder="1" applyProtection="1"/>
    <xf numFmtId="0" fontId="12" fillId="3" borderId="18" xfId="0" applyFont="1" applyFill="1" applyBorder="1" applyAlignment="1" applyProtection="1">
      <alignment horizontal="left" vertical="center"/>
    </xf>
    <xf numFmtId="0" fontId="12" fillId="3" borderId="18" xfId="0" applyFont="1" applyFill="1" applyBorder="1" applyProtection="1"/>
    <xf numFmtId="0" fontId="12" fillId="3" borderId="19" xfId="0" applyFont="1" applyFill="1" applyBorder="1" applyProtection="1"/>
    <xf numFmtId="0" fontId="52" fillId="3" borderId="21" xfId="0" applyFont="1" applyFill="1" applyBorder="1" applyAlignment="1" applyProtection="1"/>
    <xf numFmtId="0" fontId="12" fillId="3" borderId="20" xfId="0" applyFont="1" applyFill="1" applyBorder="1" applyProtection="1"/>
    <xf numFmtId="0" fontId="28" fillId="3" borderId="11" xfId="0" applyFont="1" applyFill="1" applyBorder="1" applyAlignment="1">
      <alignment horizontal="center"/>
    </xf>
    <xf numFmtId="0" fontId="16" fillId="3" borderId="11" xfId="0" applyFont="1" applyFill="1" applyBorder="1" applyAlignment="1" applyProtection="1">
      <alignment horizontal="center"/>
    </xf>
    <xf numFmtId="0" fontId="12" fillId="3" borderId="11" xfId="0" applyFont="1" applyFill="1" applyBorder="1" applyProtection="1"/>
    <xf numFmtId="0" fontId="16" fillId="3" borderId="11" xfId="0" applyFont="1" applyFill="1" applyBorder="1" applyAlignment="1" applyProtection="1">
      <alignment horizontal="center" vertical="center"/>
    </xf>
    <xf numFmtId="0" fontId="58" fillId="3" borderId="11" xfId="0" applyFont="1" applyFill="1" applyBorder="1" applyAlignment="1">
      <alignment vertical="center" wrapText="1"/>
    </xf>
    <xf numFmtId="0" fontId="60" fillId="0" borderId="11" xfId="0" applyFont="1" applyFill="1" applyBorder="1" applyAlignment="1" applyProtection="1">
      <alignment vertical="center" wrapText="1"/>
    </xf>
    <xf numFmtId="0" fontId="60" fillId="0" borderId="11" xfId="0" applyFont="1" applyFill="1" applyBorder="1" applyProtection="1"/>
    <xf numFmtId="0" fontId="8" fillId="3" borderId="26" xfId="0" applyFont="1" applyFill="1" applyBorder="1" applyAlignment="1">
      <alignment horizontal="center" vertical="center" wrapText="1"/>
    </xf>
    <xf numFmtId="0" fontId="16" fillId="2" borderId="26" xfId="0" applyFont="1" applyFill="1" applyBorder="1" applyAlignment="1" applyProtection="1">
      <alignment horizontal="center" vertical="center" wrapText="1"/>
    </xf>
    <xf numFmtId="0" fontId="16" fillId="2" borderId="23" xfId="0" applyFont="1" applyFill="1" applyBorder="1" applyAlignment="1" applyProtection="1">
      <alignment horizontal="center" vertical="center" wrapText="1"/>
    </xf>
    <xf numFmtId="0" fontId="8" fillId="3" borderId="14" xfId="0" applyFont="1" applyFill="1" applyBorder="1" applyAlignment="1">
      <alignment horizontal="center" vertical="center" wrapText="1"/>
    </xf>
    <xf numFmtId="0" fontId="16" fillId="2" borderId="1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25"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2" fillId="3" borderId="20" xfId="0" applyFont="1" applyFill="1" applyBorder="1" applyAlignment="1" applyProtection="1">
      <alignment horizontal="left" vertical="center" wrapText="1"/>
    </xf>
    <xf numFmtId="0" fontId="16" fillId="3" borderId="36" xfId="0" applyFont="1" applyFill="1" applyBorder="1" applyAlignment="1" applyProtection="1">
      <alignment vertical="center" wrapText="1"/>
    </xf>
    <xf numFmtId="0" fontId="16" fillId="3" borderId="11" xfId="0" applyFont="1" applyFill="1" applyBorder="1" applyAlignment="1" applyProtection="1">
      <alignment vertical="center" wrapText="1"/>
    </xf>
    <xf numFmtId="0" fontId="12" fillId="2" borderId="13" xfId="0" applyFont="1" applyFill="1" applyBorder="1" applyAlignment="1" applyProtection="1">
      <alignment horizontal="left" vertical="top" wrapText="1"/>
    </xf>
    <xf numFmtId="0" fontId="12" fillId="3" borderId="21" xfId="0" applyFont="1" applyFill="1" applyBorder="1" applyAlignment="1" applyProtection="1">
      <alignment horizontal="left" vertical="center" wrapText="1"/>
    </xf>
    <xf numFmtId="0" fontId="13" fillId="0" borderId="0" xfId="0" applyFont="1" applyAlignment="1">
      <alignment wrapText="1"/>
    </xf>
    <xf numFmtId="0" fontId="12" fillId="3" borderId="20" xfId="0" applyFont="1" applyFill="1" applyBorder="1" applyAlignment="1" applyProtection="1">
      <alignment horizontal="left" vertical="center"/>
    </xf>
    <xf numFmtId="0" fontId="16" fillId="3" borderId="56" xfId="0" applyFont="1" applyFill="1" applyBorder="1" applyAlignment="1" applyProtection="1">
      <alignment vertical="center" wrapText="1"/>
    </xf>
    <xf numFmtId="0" fontId="12" fillId="3" borderId="21" xfId="0" applyFont="1" applyFill="1" applyBorder="1" applyAlignment="1" applyProtection="1">
      <alignment horizontal="left" vertical="center"/>
    </xf>
    <xf numFmtId="0" fontId="16" fillId="3" borderId="25" xfId="0" applyFont="1" applyFill="1" applyBorder="1" applyAlignment="1" applyProtection="1">
      <alignment vertical="center" wrapText="1"/>
    </xf>
    <xf numFmtId="0" fontId="16" fillId="3" borderId="20" xfId="0" applyFont="1" applyFill="1" applyBorder="1" applyAlignment="1" applyProtection="1">
      <alignment vertical="center" wrapText="1"/>
    </xf>
    <xf numFmtId="0" fontId="16" fillId="3" borderId="54" xfId="0" applyFont="1" applyFill="1" applyBorder="1" applyAlignment="1" applyProtection="1">
      <alignment vertical="center" wrapText="1"/>
    </xf>
    <xf numFmtId="0" fontId="16" fillId="3" borderId="57"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2" fillId="2"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3" borderId="22" xfId="0" applyFont="1" applyFill="1" applyBorder="1" applyAlignment="1" applyProtection="1">
      <alignment vertical="center"/>
    </xf>
    <xf numFmtId="0" fontId="12" fillId="3" borderId="23" xfId="0" applyFont="1" applyFill="1" applyBorder="1" applyAlignment="1" applyProtection="1">
      <alignment vertical="center"/>
    </xf>
    <xf numFmtId="0" fontId="12" fillId="3" borderId="24" xfId="0" applyFont="1" applyFill="1" applyBorder="1" applyAlignment="1" applyProtection="1">
      <alignment vertical="center"/>
    </xf>
    <xf numFmtId="0" fontId="9" fillId="3" borderId="17" xfId="0" applyFont="1" applyFill="1" applyBorder="1"/>
    <xf numFmtId="0" fontId="9" fillId="3" borderId="18" xfId="0" applyFont="1" applyFill="1" applyBorder="1"/>
    <xf numFmtId="0" fontId="9" fillId="3" borderId="21" xfId="0" applyFont="1" applyFill="1" applyBorder="1"/>
    <xf numFmtId="0" fontId="30" fillId="3" borderId="0" xfId="0" applyFont="1" applyFill="1" applyBorder="1"/>
    <xf numFmtId="0" fontId="62" fillId="3" borderId="0" xfId="0" applyFont="1" applyFill="1" applyBorder="1"/>
    <xf numFmtId="0" fontId="29" fillId="0" borderId="1" xfId="0" applyFont="1" applyFill="1" applyBorder="1" applyAlignment="1">
      <alignment horizontal="center" vertical="top" wrapText="1"/>
    </xf>
    <xf numFmtId="0" fontId="29" fillId="0" borderId="29" xfId="0" applyFont="1" applyFill="1" applyBorder="1" applyAlignment="1">
      <alignment horizontal="center" vertical="top" wrapText="1"/>
    </xf>
    <xf numFmtId="0" fontId="30" fillId="0" borderId="26" xfId="0" applyFont="1" applyFill="1" applyBorder="1" applyAlignment="1">
      <alignment vertical="top" wrapText="1"/>
    </xf>
    <xf numFmtId="0" fontId="27" fillId="0" borderId="24" xfId="0" applyFont="1" applyFill="1" applyBorder="1" applyAlignment="1">
      <alignment vertical="top" wrapText="1"/>
    </xf>
    <xf numFmtId="0" fontId="30" fillId="0" borderId="25" xfId="0" applyFont="1" applyFill="1" applyBorder="1" applyAlignment="1">
      <alignment vertical="top" wrapText="1"/>
    </xf>
    <xf numFmtId="0" fontId="27" fillId="0" borderId="21" xfId="0" applyFont="1" applyFill="1" applyBorder="1" applyAlignment="1">
      <alignment vertical="top" wrapText="1"/>
    </xf>
    <xf numFmtId="0" fontId="30" fillId="0" borderId="1" xfId="0" applyFont="1" applyFill="1" applyBorder="1" applyAlignment="1">
      <alignment vertical="top" wrapText="1"/>
    </xf>
    <xf numFmtId="0" fontId="30" fillId="0" borderId="29" xfId="0" applyFont="1" applyFill="1" applyBorder="1" applyAlignment="1">
      <alignment vertical="top" wrapText="1"/>
    </xf>
    <xf numFmtId="0" fontId="30" fillId="0" borderId="24" xfId="0" applyFont="1" applyFill="1" applyBorder="1" applyAlignment="1">
      <alignment vertical="top" wrapText="1"/>
    </xf>
    <xf numFmtId="0" fontId="29" fillId="0" borderId="1" xfId="0" applyFont="1" applyFill="1" applyBorder="1" applyAlignment="1">
      <alignment horizontal="center" vertical="top"/>
    </xf>
    <xf numFmtId="0" fontId="30" fillId="0" borderId="1" xfId="0" applyFont="1" applyFill="1" applyBorder="1" applyAlignment="1">
      <alignment vertical="center" wrapText="1"/>
    </xf>
    <xf numFmtId="0" fontId="27" fillId="0" borderId="1" xfId="0" applyFont="1" applyFill="1" applyBorder="1" applyAlignment="1">
      <alignment vertical="center" wrapText="1"/>
    </xf>
    <xf numFmtId="0" fontId="27" fillId="0" borderId="1" xfId="0" applyFont="1" applyFill="1" applyBorder="1" applyAlignment="1">
      <alignment wrapText="1"/>
    </xf>
    <xf numFmtId="0" fontId="30" fillId="0" borderId="1" xfId="0" applyFont="1" applyFill="1" applyBorder="1"/>
    <xf numFmtId="0" fontId="30" fillId="0" borderId="1" xfId="0" applyFont="1" applyFill="1" applyBorder="1" applyAlignment="1">
      <alignment wrapText="1"/>
    </xf>
    <xf numFmtId="0" fontId="9" fillId="3" borderId="22" xfId="0" applyFont="1" applyFill="1" applyBorder="1"/>
    <xf numFmtId="0" fontId="9" fillId="3" borderId="23" xfId="0" applyFont="1" applyFill="1" applyBorder="1"/>
    <xf numFmtId="0" fontId="9" fillId="3" borderId="24" xfId="0" applyFont="1" applyFill="1" applyBorder="1"/>
    <xf numFmtId="0" fontId="9" fillId="3" borderId="17" xfId="0" applyFont="1" applyFill="1" applyBorder="1" applyAlignment="1">
      <alignment vertical="center"/>
    </xf>
    <xf numFmtId="0" fontId="9" fillId="3" borderId="20" xfId="0" applyFont="1" applyFill="1" applyBorder="1" applyAlignment="1">
      <alignment vertical="center"/>
    </xf>
    <xf numFmtId="0" fontId="9" fillId="3" borderId="0" xfId="0" applyFont="1" applyFill="1" applyBorder="1" applyAlignment="1">
      <alignment vertical="center"/>
    </xf>
    <xf numFmtId="0" fontId="9" fillId="3" borderId="0" xfId="0" applyFont="1" applyFill="1" applyBorder="1"/>
    <xf numFmtId="0" fontId="9" fillId="3" borderId="18" xfId="0" applyFont="1" applyFill="1" applyBorder="1" applyAlignment="1">
      <alignment vertical="top" wrapText="1"/>
    </xf>
    <xf numFmtId="0" fontId="9" fillId="3" borderId="19" xfId="0" applyFont="1" applyFill="1" applyBorder="1" applyAlignment="1">
      <alignment vertical="top" wrapText="1"/>
    </xf>
    <xf numFmtId="0" fontId="33" fillId="8" borderId="11" xfId="4" applyFont="1" applyBorder="1" applyAlignment="1" applyProtection="1">
      <alignment horizontal="center" vertical="center"/>
      <protection locked="0"/>
    </xf>
    <xf numFmtId="10" fontId="66" fillId="12" borderId="11" xfId="4" applyNumberFormat="1" applyFont="1" applyFill="1" applyBorder="1" applyAlignment="1" applyProtection="1">
      <alignment horizontal="center" vertical="center" wrapText="1"/>
      <protection locked="0"/>
    </xf>
    <xf numFmtId="0" fontId="9" fillId="0" borderId="0" xfId="0" applyFont="1" applyProtection="1"/>
    <xf numFmtId="0" fontId="42" fillId="3" borderId="23" xfId="1" applyFont="1" applyFill="1" applyBorder="1" applyAlignment="1" applyProtection="1">
      <alignment vertical="top" wrapText="1"/>
    </xf>
    <xf numFmtId="0" fontId="42" fillId="3" borderId="24" xfId="1" applyFont="1" applyFill="1" applyBorder="1" applyAlignment="1" applyProtection="1">
      <alignment vertical="top" wrapText="1"/>
    </xf>
    <xf numFmtId="0" fontId="9" fillId="10" borderId="1" xfId="0" applyFont="1" applyFill="1" applyBorder="1" applyProtection="1"/>
    <xf numFmtId="0" fontId="9" fillId="9" borderId="1" xfId="0" applyFont="1" applyFill="1" applyBorder="1" applyProtection="1">
      <protection locked="0"/>
    </xf>
    <xf numFmtId="0" fontId="9" fillId="0" borderId="16" xfId="0" applyFont="1" applyBorder="1" applyProtection="1"/>
    <xf numFmtId="0" fontId="28" fillId="11" borderId="52" xfId="0" applyFont="1" applyFill="1" applyBorder="1" applyAlignment="1" applyProtection="1">
      <alignment horizontal="left" vertical="center" wrapText="1"/>
    </xf>
    <xf numFmtId="0" fontId="28" fillId="11" borderId="11" xfId="0" applyFont="1" applyFill="1" applyBorder="1" applyAlignment="1" applyProtection="1">
      <alignment horizontal="left" vertical="center" wrapText="1"/>
    </xf>
    <xf numFmtId="0" fontId="28" fillId="11" borderId="9" xfId="0" applyFont="1" applyFill="1" applyBorder="1" applyAlignment="1" applyProtection="1">
      <alignment horizontal="left" vertical="center" wrapText="1"/>
    </xf>
    <xf numFmtId="0" fontId="68" fillId="0" borderId="10" xfId="0" applyFont="1" applyBorder="1" applyAlignment="1" applyProtection="1">
      <alignment horizontal="left" vertical="center"/>
    </xf>
    <xf numFmtId="0" fontId="66" fillId="8" borderId="11" xfId="4" applyFont="1" applyBorder="1" applyAlignment="1" applyProtection="1">
      <alignment horizontal="center" vertical="center"/>
      <protection locked="0"/>
    </xf>
    <xf numFmtId="0" fontId="66" fillId="8" borderId="7" xfId="4" applyFont="1" applyBorder="1" applyAlignment="1" applyProtection="1">
      <alignment horizontal="center" vertical="center"/>
      <protection locked="0"/>
    </xf>
    <xf numFmtId="0" fontId="68" fillId="0" borderId="55" xfId="0" applyFont="1" applyBorder="1" applyAlignment="1" applyProtection="1">
      <alignment horizontal="left" vertical="center"/>
    </xf>
    <xf numFmtId="0" fontId="69" fillId="12" borderId="11" xfId="4" applyFont="1" applyFill="1" applyBorder="1" applyAlignment="1" applyProtection="1">
      <alignment horizontal="center" vertical="center"/>
      <protection locked="0"/>
    </xf>
    <xf numFmtId="0" fontId="66" fillId="12" borderId="11" xfId="4" applyFont="1" applyFill="1" applyBorder="1" applyAlignment="1" applyProtection="1">
      <alignment horizontal="center" vertical="center"/>
      <protection locked="0"/>
    </xf>
    <xf numFmtId="0" fontId="66" fillId="12" borderId="7" xfId="4" applyFont="1" applyFill="1" applyBorder="1" applyAlignment="1" applyProtection="1">
      <alignment horizontal="center" vertical="center"/>
      <protection locked="0"/>
    </xf>
    <xf numFmtId="0" fontId="31" fillId="0" borderId="11" xfId="0" applyFont="1" applyBorder="1" applyAlignment="1" applyProtection="1">
      <alignment horizontal="left" vertical="center"/>
    </xf>
    <xf numFmtId="10" fontId="66" fillId="8" borderId="11" xfId="4" applyNumberFormat="1" applyFont="1" applyBorder="1" applyAlignment="1" applyProtection="1">
      <alignment horizontal="center" vertical="center"/>
      <protection locked="0"/>
    </xf>
    <xf numFmtId="2" fontId="66" fillId="8" borderId="11" xfId="4" applyNumberFormat="1" applyFont="1" applyBorder="1" applyAlignment="1" applyProtection="1">
      <alignment horizontal="center" vertical="center"/>
      <protection locked="0"/>
    </xf>
    <xf numFmtId="10" fontId="66" fillId="8" borderId="7" xfId="4" applyNumberFormat="1" applyFont="1" applyBorder="1" applyAlignment="1" applyProtection="1">
      <alignment horizontal="center" vertical="center"/>
      <protection locked="0"/>
    </xf>
    <xf numFmtId="0" fontId="31" fillId="0" borderId="52" xfId="0" applyFont="1" applyBorder="1" applyAlignment="1" applyProtection="1">
      <alignment horizontal="left" vertical="center"/>
    </xf>
    <xf numFmtId="2" fontId="66" fillId="12" borderId="11" xfId="4" applyNumberFormat="1" applyFont="1" applyFill="1" applyBorder="1" applyAlignment="1" applyProtection="1">
      <alignment horizontal="center" vertical="center"/>
      <protection locked="0"/>
    </xf>
    <xf numFmtId="10" fontId="66" fillId="12" borderId="11" xfId="4" applyNumberFormat="1" applyFont="1" applyFill="1" applyBorder="1" applyAlignment="1" applyProtection="1">
      <alignment horizontal="center" vertical="center"/>
      <protection locked="0"/>
    </xf>
    <xf numFmtId="10" fontId="66" fillId="12" borderId="7" xfId="4" applyNumberFormat="1" applyFont="1" applyFill="1" applyBorder="1" applyAlignment="1" applyProtection="1">
      <alignment horizontal="center" vertical="center"/>
      <protection locked="0"/>
    </xf>
    <xf numFmtId="0" fontId="9" fillId="0" borderId="0" xfId="0" applyFont="1" applyAlignment="1" applyProtection="1">
      <alignment horizontal="left"/>
    </xf>
    <xf numFmtId="0" fontId="9" fillId="0" borderId="0" xfId="0" applyFont="1" applyProtection="1">
      <protection locked="0"/>
    </xf>
    <xf numFmtId="0" fontId="28" fillId="11" borderId="56" xfId="0" applyFont="1" applyFill="1" applyBorder="1" applyAlignment="1" applyProtection="1">
      <alignment horizontal="center" vertical="center" wrapText="1"/>
    </xf>
    <xf numFmtId="0" fontId="28" fillId="11" borderId="40" xfId="0" applyFont="1" applyFill="1" applyBorder="1" applyAlignment="1" applyProtection="1">
      <alignment horizontal="center" vertical="center" wrapText="1"/>
    </xf>
    <xf numFmtId="0" fontId="68" fillId="0" borderId="11" xfId="0" applyFont="1" applyFill="1" applyBorder="1" applyAlignment="1" applyProtection="1">
      <alignment vertical="center" wrapText="1"/>
    </xf>
    <xf numFmtId="0" fontId="69" fillId="8" borderId="11" xfId="4" applyFont="1" applyBorder="1" applyAlignment="1" applyProtection="1">
      <alignment horizontal="center" wrapText="1"/>
      <protection locked="0"/>
    </xf>
    <xf numFmtId="0" fontId="69" fillId="12" borderId="11" xfId="4" applyFont="1" applyFill="1" applyBorder="1" applyAlignment="1" applyProtection="1">
      <alignment horizontal="center" wrapText="1"/>
      <protection locked="0"/>
    </xf>
    <xf numFmtId="0" fontId="69" fillId="12" borderId="11" xfId="4" applyFont="1" applyFill="1" applyBorder="1" applyAlignment="1" applyProtection="1">
      <alignment wrapText="1"/>
      <protection locked="0"/>
    </xf>
    <xf numFmtId="0" fontId="34" fillId="2" borderId="11" xfId="0" applyFont="1" applyFill="1" applyBorder="1" applyAlignment="1" applyProtection="1">
      <alignment vertical="center" wrapText="1"/>
    </xf>
    <xf numFmtId="10" fontId="69" fillId="8" borderId="11" xfId="4" applyNumberFormat="1" applyFont="1" applyBorder="1" applyAlignment="1" applyProtection="1">
      <alignment horizontal="center" vertical="center" wrapText="1"/>
      <protection locked="0"/>
    </xf>
    <xf numFmtId="10" fontId="69" fillId="12" borderId="11" xfId="4" applyNumberFormat="1" applyFont="1" applyFill="1" applyBorder="1" applyAlignment="1" applyProtection="1">
      <alignment horizontal="center" vertical="center" wrapText="1"/>
      <protection locked="0"/>
    </xf>
    <xf numFmtId="0" fontId="28" fillId="11" borderId="48" xfId="0" applyFont="1" applyFill="1" applyBorder="1" applyAlignment="1" applyProtection="1">
      <alignment horizontal="center" vertical="center" wrapText="1"/>
    </xf>
    <xf numFmtId="0" fontId="28" fillId="11" borderId="11" xfId="0" applyFont="1" applyFill="1" applyBorder="1" applyAlignment="1" applyProtection="1">
      <alignment horizontal="center" vertical="center" wrapText="1"/>
    </xf>
    <xf numFmtId="0" fontId="28" fillId="11" borderId="7" xfId="0" applyFont="1" applyFill="1" applyBorder="1" applyAlignment="1" applyProtection="1">
      <alignment horizontal="center" vertical="center" wrapText="1"/>
    </xf>
    <xf numFmtId="0" fontId="69" fillId="8" borderId="48" xfId="4" applyFont="1" applyBorder="1" applyAlignment="1" applyProtection="1">
      <alignment horizontal="center" vertical="center" wrapText="1"/>
      <protection locked="0"/>
    </xf>
    <xf numFmtId="0" fontId="69" fillId="8" borderId="11" xfId="4" applyFont="1" applyBorder="1" applyAlignment="1" applyProtection="1">
      <alignment horizontal="center" vertical="center"/>
      <protection locked="0"/>
    </xf>
    <xf numFmtId="0" fontId="69" fillId="8" borderId="7" xfId="4" applyFont="1" applyBorder="1" applyAlignment="1" applyProtection="1">
      <alignment horizontal="center" vertical="center" wrapText="1"/>
      <protection locked="0"/>
    </xf>
    <xf numFmtId="0" fontId="66" fillId="12" borderId="48" xfId="4" applyFont="1" applyFill="1" applyBorder="1" applyAlignment="1" applyProtection="1">
      <alignment vertical="center" wrapText="1"/>
      <protection locked="0"/>
    </xf>
    <xf numFmtId="0" fontId="69" fillId="12" borderId="7" xfId="4" applyFont="1" applyFill="1" applyBorder="1" applyAlignment="1" applyProtection="1">
      <alignment horizontal="center" vertical="center" wrapText="1"/>
      <protection locked="0"/>
    </xf>
    <xf numFmtId="0" fontId="69" fillId="12" borderId="48" xfId="4" applyFont="1" applyFill="1" applyBorder="1" applyAlignment="1" applyProtection="1">
      <alignment vertical="center" wrapText="1"/>
      <protection locked="0"/>
    </xf>
    <xf numFmtId="0" fontId="69" fillId="12" borderId="7" xfId="4" applyFont="1" applyFill="1" applyBorder="1" applyAlignment="1" applyProtection="1">
      <alignment horizontal="center" vertical="center"/>
      <protection locked="0"/>
    </xf>
    <xf numFmtId="0" fontId="69" fillId="8" borderId="48" xfId="4" applyFont="1" applyBorder="1" applyAlignment="1" applyProtection="1">
      <alignment vertical="center" wrapText="1"/>
      <protection locked="0"/>
    </xf>
    <xf numFmtId="0" fontId="69" fillId="8" borderId="7" xfId="4" applyFont="1" applyBorder="1" applyAlignment="1" applyProtection="1">
      <alignment horizontal="center" vertical="center"/>
      <protection locked="0"/>
    </xf>
    <xf numFmtId="0" fontId="69" fillId="12" borderId="7" xfId="4" applyFont="1" applyFill="1" applyBorder="1" applyAlignment="1" applyProtection="1">
      <alignment vertical="center"/>
      <protection locked="0"/>
    </xf>
    <xf numFmtId="0" fontId="69" fillId="8" borderId="34" xfId="4" applyFont="1" applyBorder="1" applyAlignment="1" applyProtection="1">
      <alignment horizontal="center" vertical="center"/>
      <protection locked="0"/>
    </xf>
    <xf numFmtId="0" fontId="69" fillId="12" borderId="34" xfId="4" applyFont="1" applyFill="1" applyBorder="1" applyAlignment="1" applyProtection="1">
      <alignment horizontal="center" vertical="center"/>
      <protection locked="0"/>
    </xf>
    <xf numFmtId="0" fontId="69" fillId="12" borderId="34" xfId="4" applyFont="1" applyFill="1" applyBorder="1" applyAlignment="1" applyProtection="1">
      <alignment vertical="center"/>
      <protection locked="0"/>
    </xf>
    <xf numFmtId="0" fontId="69" fillId="8" borderId="7" xfId="4" applyFont="1" applyBorder="1" applyAlignment="1" applyProtection="1">
      <alignment vertical="center"/>
      <protection locked="0"/>
    </xf>
    <xf numFmtId="0" fontId="69" fillId="8" borderId="34" xfId="4" applyFont="1" applyBorder="1" applyAlignment="1" applyProtection="1">
      <alignment vertical="center"/>
      <protection locked="0"/>
    </xf>
    <xf numFmtId="0" fontId="9" fillId="0" borderId="0" xfId="0" applyFont="1" applyBorder="1" applyAlignment="1" applyProtection="1">
      <alignment wrapText="1"/>
    </xf>
    <xf numFmtId="0" fontId="9" fillId="0" borderId="0" xfId="0" applyFont="1" applyBorder="1" applyProtection="1"/>
    <xf numFmtId="0" fontId="28" fillId="11" borderId="56" xfId="0" applyFont="1" applyFill="1" applyBorder="1" applyAlignment="1" applyProtection="1">
      <alignment horizontal="center" vertical="center"/>
    </xf>
    <xf numFmtId="0" fontId="28" fillId="11" borderId="9" xfId="0" applyFont="1" applyFill="1" applyBorder="1" applyAlignment="1" applyProtection="1">
      <alignment horizontal="center" vertical="center"/>
    </xf>
    <xf numFmtId="0" fontId="28" fillId="11" borderId="52" xfId="0" applyFont="1" applyFill="1" applyBorder="1" applyAlignment="1" applyProtection="1">
      <alignment horizontal="center" vertical="center" wrapText="1"/>
    </xf>
    <xf numFmtId="10" fontId="69" fillId="8" borderId="11" xfId="4" applyNumberFormat="1" applyFont="1" applyBorder="1" applyAlignment="1" applyProtection="1">
      <alignment horizontal="center" vertical="center"/>
      <protection locked="0"/>
    </xf>
    <xf numFmtId="10" fontId="69" fillId="15" borderId="11" xfId="4" applyNumberFormat="1" applyFont="1" applyFill="1" applyBorder="1" applyAlignment="1" applyProtection="1">
      <alignment horizontal="center" vertical="center"/>
      <protection locked="0"/>
    </xf>
    <xf numFmtId="10" fontId="69" fillId="12" borderId="11" xfId="4" applyNumberFormat="1" applyFont="1" applyFill="1" applyBorder="1" applyAlignment="1" applyProtection="1">
      <alignment horizontal="center" vertical="center"/>
      <protection locked="0"/>
    </xf>
    <xf numFmtId="0" fontId="28" fillId="11" borderId="36" xfId="0" applyFont="1" applyFill="1" applyBorder="1" applyAlignment="1" applyProtection="1">
      <alignment horizontal="center" vertical="center" wrapText="1"/>
    </xf>
    <xf numFmtId="0" fontId="28" fillId="11" borderId="28" xfId="0" applyFont="1" applyFill="1" applyBorder="1" applyAlignment="1" applyProtection="1">
      <alignment horizontal="center" vertical="center" wrapText="1"/>
    </xf>
    <xf numFmtId="0" fontId="28" fillId="11" borderId="49" xfId="0" applyFont="1" applyFill="1" applyBorder="1" applyAlignment="1" applyProtection="1">
      <alignment horizontal="center" vertical="center" wrapText="1"/>
    </xf>
    <xf numFmtId="0" fontId="69" fillId="8" borderId="11" xfId="4" applyFont="1" applyBorder="1" applyAlignment="1" applyProtection="1">
      <alignment horizontal="center"/>
      <protection locked="0"/>
    </xf>
    <xf numFmtId="0" fontId="69" fillId="8" borderId="28" xfId="4" applyFont="1" applyBorder="1" applyAlignment="1" applyProtection="1">
      <alignment vertical="center" wrapText="1"/>
      <protection locked="0"/>
    </xf>
    <xf numFmtId="0" fontId="69" fillId="8" borderId="49" xfId="4" applyFont="1" applyBorder="1" applyAlignment="1" applyProtection="1">
      <alignment horizontal="center" vertical="center"/>
      <protection locked="0"/>
    </xf>
    <xf numFmtId="0" fontId="69" fillId="12" borderId="11" xfId="4" applyFont="1" applyFill="1" applyBorder="1" applyProtection="1">
      <protection locked="0"/>
    </xf>
    <xf numFmtId="0" fontId="69" fillId="12" borderId="28" xfId="4" applyFont="1" applyFill="1" applyBorder="1" applyAlignment="1" applyProtection="1">
      <alignment vertical="center" wrapText="1"/>
      <protection locked="0"/>
    </xf>
    <xf numFmtId="0" fontId="69" fillId="12" borderId="49" xfId="4" applyFont="1" applyFill="1" applyBorder="1" applyAlignment="1" applyProtection="1">
      <alignment horizontal="center" vertical="center"/>
      <protection locked="0"/>
    </xf>
    <xf numFmtId="0" fontId="9" fillId="0" borderId="0" xfId="0" applyFont="1" applyBorder="1" applyAlignment="1" applyProtection="1">
      <alignment horizontal="left" wrapText="1"/>
    </xf>
    <xf numFmtId="0" fontId="28" fillId="11" borderId="6" xfId="0" applyFont="1" applyFill="1" applyBorder="1" applyAlignment="1" applyProtection="1">
      <alignment horizontal="center" vertical="center" wrapText="1"/>
    </xf>
    <xf numFmtId="0" fontId="28" fillId="11" borderId="27" xfId="0" applyFont="1" applyFill="1" applyBorder="1" applyAlignment="1" applyProtection="1">
      <alignment horizontal="center" vertical="center"/>
    </xf>
    <xf numFmtId="0" fontId="69" fillId="8" borderId="11" xfId="4" applyFont="1" applyBorder="1" applyAlignment="1" applyProtection="1">
      <alignment horizontal="center" vertical="center" wrapText="1"/>
      <protection locked="0"/>
    </xf>
    <xf numFmtId="0" fontId="69" fillId="12" borderId="11" xfId="4" applyFont="1" applyFill="1" applyBorder="1" applyAlignment="1" applyProtection="1">
      <alignment horizontal="right" vertical="center" wrapText="1"/>
      <protection locked="0"/>
    </xf>
    <xf numFmtId="0" fontId="69" fillId="12" borderId="48" xfId="4" applyFont="1" applyFill="1" applyBorder="1" applyAlignment="1" applyProtection="1">
      <alignment horizontal="center" vertical="center" wrapText="1"/>
      <protection locked="0"/>
    </xf>
    <xf numFmtId="0" fontId="69" fillId="12" borderId="11" xfId="4" applyFont="1" applyFill="1" applyBorder="1" applyAlignment="1" applyProtection="1">
      <alignment vertical="center" wrapText="1"/>
      <protection locked="0"/>
    </xf>
    <xf numFmtId="0" fontId="69" fillId="8" borderId="52" xfId="4" applyFont="1" applyBorder="1" applyAlignment="1" applyProtection="1">
      <alignment horizontal="center" vertical="center"/>
      <protection locked="0"/>
    </xf>
    <xf numFmtId="0" fontId="69" fillId="12" borderId="52" xfId="4" applyFont="1" applyFill="1" applyBorder="1" applyAlignment="1" applyProtection="1">
      <alignment horizontal="center" vertical="center"/>
      <protection locked="0"/>
    </xf>
    <xf numFmtId="0" fontId="9" fillId="0" borderId="0" xfId="0" applyFont="1" applyBorder="1" applyAlignment="1" applyProtection="1">
      <alignment horizontal="left" vertical="center" wrapText="1"/>
    </xf>
    <xf numFmtId="0" fontId="28" fillId="11" borderId="40" xfId="0" applyFont="1" applyFill="1" applyBorder="1" applyAlignment="1" applyProtection="1">
      <alignment horizontal="center" vertical="center"/>
    </xf>
    <xf numFmtId="0" fontId="69" fillId="8" borderId="11" xfId="4" applyFont="1" applyBorder="1" applyAlignment="1" applyProtection="1">
      <alignment vertical="center" wrapText="1"/>
      <protection locked="0"/>
    </xf>
    <xf numFmtId="0" fontId="69" fillId="8" borderId="7" xfId="4" applyFont="1" applyBorder="1" applyAlignment="1" applyProtection="1">
      <alignment vertical="center" wrapText="1"/>
      <protection locked="0"/>
    </xf>
    <xf numFmtId="0" fontId="69" fillId="12" borderId="28" xfId="4" applyFont="1" applyFill="1" applyBorder="1" applyAlignment="1" applyProtection="1">
      <alignment horizontal="center" vertical="center" wrapText="1"/>
      <protection locked="0"/>
    </xf>
    <xf numFmtId="0" fontId="69" fillId="12" borderId="52" xfId="4" applyFont="1" applyFill="1" applyBorder="1" applyAlignment="1" applyProtection="1">
      <alignment horizontal="center" vertical="center" wrapText="1"/>
      <protection locked="0"/>
    </xf>
    <xf numFmtId="0" fontId="69" fillId="12" borderId="7" xfId="4" applyFont="1" applyFill="1" applyBorder="1" applyAlignment="1" applyProtection="1">
      <alignment vertical="center" wrapText="1"/>
      <protection locked="0"/>
    </xf>
    <xf numFmtId="0" fontId="28" fillId="11" borderId="37" xfId="0" applyFont="1" applyFill="1" applyBorder="1" applyAlignment="1" applyProtection="1">
      <alignment horizontal="center" vertical="center"/>
    </xf>
    <xf numFmtId="0" fontId="28" fillId="11" borderId="10" xfId="0" applyFont="1" applyFill="1" applyBorder="1" applyAlignment="1" applyProtection="1">
      <alignment horizontal="center" vertical="center" wrapText="1"/>
    </xf>
    <xf numFmtId="0" fontId="66" fillId="8" borderId="32" xfId="4" applyFont="1" applyBorder="1" applyAlignment="1" applyProtection="1">
      <alignment horizontal="center"/>
      <protection locked="0"/>
    </xf>
    <xf numFmtId="10" fontId="66" fillId="8" borderId="36" xfId="4" applyNumberFormat="1" applyFont="1" applyBorder="1" applyAlignment="1" applyProtection="1">
      <alignment horizontal="center" vertical="center"/>
      <protection locked="0"/>
    </xf>
    <xf numFmtId="0" fontId="69" fillId="12" borderId="32" xfId="4" applyFont="1" applyFill="1" applyBorder="1" applyAlignment="1" applyProtection="1">
      <protection locked="0"/>
    </xf>
    <xf numFmtId="10" fontId="69" fillId="12" borderId="36" xfId="4" applyNumberFormat="1" applyFont="1" applyFill="1" applyBorder="1" applyAlignment="1" applyProtection="1">
      <alignment horizontal="center" vertical="center"/>
      <protection locked="0"/>
    </xf>
    <xf numFmtId="0" fontId="28" fillId="11" borderId="28" xfId="0" applyFont="1" applyFill="1" applyBorder="1" applyAlignment="1" applyProtection="1">
      <alignment horizontal="center" vertical="center"/>
    </xf>
    <xf numFmtId="0" fontId="69" fillId="16" borderId="32" xfId="4" applyFont="1" applyFill="1" applyBorder="1" applyAlignment="1" applyProtection="1">
      <alignment horizontal="center"/>
      <protection locked="0"/>
    </xf>
    <xf numFmtId="10" fontId="69" fillId="16" borderId="11" xfId="4" applyNumberFormat="1" applyFont="1" applyFill="1" applyBorder="1" applyAlignment="1" applyProtection="1">
      <alignment horizontal="center" vertical="center"/>
      <protection locked="0"/>
    </xf>
    <xf numFmtId="0" fontId="69" fillId="16" borderId="48" xfId="4" applyFont="1" applyFill="1" applyBorder="1" applyAlignment="1" applyProtection="1">
      <alignment horizontal="center" vertical="center" wrapText="1"/>
      <protection locked="0"/>
    </xf>
    <xf numFmtId="0" fontId="69" fillId="16" borderId="7" xfId="4" applyFont="1" applyFill="1" applyBorder="1" applyAlignment="1" applyProtection="1">
      <alignment vertical="center" wrapText="1"/>
      <protection locked="0"/>
    </xf>
    <xf numFmtId="0" fontId="69" fillId="16" borderId="48" xfId="4" applyFont="1" applyFill="1" applyBorder="1" applyAlignment="1" applyProtection="1">
      <alignment vertical="center" wrapText="1"/>
      <protection locked="0"/>
    </xf>
    <xf numFmtId="0" fontId="69" fillId="8" borderId="32" xfId="4" applyFont="1" applyBorder="1" applyAlignment="1" applyProtection="1">
      <protection locked="0"/>
    </xf>
    <xf numFmtId="0" fontId="28" fillId="11" borderId="11" xfId="0" applyFont="1" applyFill="1" applyBorder="1" applyAlignment="1" applyProtection="1">
      <alignment horizontal="center" wrapText="1"/>
    </xf>
    <xf numFmtId="0" fontId="28" fillId="11" borderId="7" xfId="0" applyFont="1" applyFill="1" applyBorder="1" applyAlignment="1" applyProtection="1">
      <alignment horizontal="center" wrapText="1"/>
    </xf>
    <xf numFmtId="0" fontId="28" fillId="11" borderId="52" xfId="0" applyFont="1" applyFill="1" applyBorder="1" applyAlignment="1" applyProtection="1">
      <alignment horizontal="center" wrapText="1"/>
    </xf>
    <xf numFmtId="0" fontId="69" fillId="16" borderId="11" xfId="4" applyFont="1" applyFill="1" applyBorder="1" applyAlignment="1" applyProtection="1">
      <alignment horizontal="center" vertical="center" wrapText="1"/>
      <protection locked="0"/>
    </xf>
    <xf numFmtId="0" fontId="69" fillId="16" borderId="7" xfId="4" applyFont="1" applyFill="1" applyBorder="1" applyAlignment="1" applyProtection="1">
      <alignment horizontal="center" vertical="center"/>
      <protection locked="0"/>
    </xf>
    <xf numFmtId="0" fontId="69" fillId="12" borderId="11" xfId="4" applyFont="1" applyFill="1" applyBorder="1" applyAlignment="1" applyProtection="1">
      <alignment horizontal="center" vertical="center" wrapText="1"/>
      <protection locked="0"/>
    </xf>
    <xf numFmtId="0" fontId="69" fillId="16" borderId="49" xfId="4" applyFont="1" applyFill="1" applyBorder="1" applyAlignment="1" applyProtection="1">
      <alignment horizontal="center" vertical="center"/>
      <protection locked="0"/>
    </xf>
    <xf numFmtId="0" fontId="69" fillId="8" borderId="28" xfId="4" applyFont="1" applyBorder="1" applyAlignment="1" applyProtection="1">
      <alignment vertical="center"/>
      <protection locked="0"/>
    </xf>
    <xf numFmtId="0" fontId="69" fillId="12" borderId="52" xfId="4" applyFont="1" applyFill="1" applyBorder="1" applyAlignment="1" applyProtection="1">
      <alignment vertical="center"/>
      <protection locked="0"/>
    </xf>
    <xf numFmtId="0" fontId="9" fillId="16" borderId="0" xfId="0" applyFont="1" applyFill="1" applyAlignment="1">
      <alignment horizontal="center"/>
    </xf>
    <xf numFmtId="0" fontId="69" fillId="8" borderId="0" xfId="4" applyFont="1" applyProtection="1"/>
    <xf numFmtId="0" fontId="70" fillId="6" borderId="0" xfId="2" applyFont="1" applyProtection="1"/>
    <xf numFmtId="0" fontId="71" fillId="7" borderId="0" xfId="3" applyFont="1" applyProtection="1"/>
    <xf numFmtId="0" fontId="9" fillId="0" borderId="0" xfId="0" applyFont="1" applyAlignment="1" applyProtection="1">
      <alignment wrapText="1"/>
    </xf>
    <xf numFmtId="0" fontId="73" fillId="3" borderId="12" xfId="0" applyFont="1" applyFill="1" applyBorder="1" applyAlignment="1" applyProtection="1">
      <alignment horizontal="left" vertical="top" wrapText="1"/>
    </xf>
    <xf numFmtId="0" fontId="73" fillId="3" borderId="16" xfId="0" applyFont="1" applyFill="1" applyBorder="1" applyAlignment="1" applyProtection="1">
      <alignment vertical="top" wrapText="1"/>
    </xf>
    <xf numFmtId="0" fontId="12" fillId="2" borderId="14"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0" fontId="12" fillId="2" borderId="26" xfId="0" applyFont="1" applyFill="1" applyBorder="1" applyAlignment="1" applyProtection="1">
      <alignment horizontal="center" vertical="center"/>
      <protection locked="0"/>
    </xf>
    <xf numFmtId="15" fontId="12" fillId="2" borderId="14" xfId="0" applyNumberFormat="1" applyFont="1" applyFill="1" applyBorder="1" applyAlignment="1" applyProtection="1">
      <alignment horizontal="left"/>
    </xf>
    <xf numFmtId="0" fontId="12" fillId="2" borderId="25" xfId="0" applyFont="1" applyFill="1" applyBorder="1" applyAlignment="1" applyProtection="1">
      <alignment horizontal="left"/>
    </xf>
    <xf numFmtId="0" fontId="16" fillId="3" borderId="20" xfId="0" applyFont="1" applyFill="1" applyBorder="1" applyAlignment="1" applyProtection="1">
      <alignment horizontal="right" wrapText="1"/>
    </xf>
    <xf numFmtId="0" fontId="16" fillId="3" borderId="21" xfId="0" applyFont="1" applyFill="1" applyBorder="1" applyAlignment="1" applyProtection="1">
      <alignment horizontal="right" wrapText="1"/>
    </xf>
    <xf numFmtId="0" fontId="16" fillId="3" borderId="0" xfId="0" applyFont="1" applyFill="1" applyBorder="1" applyAlignment="1" applyProtection="1">
      <alignment horizontal="right" wrapText="1"/>
    </xf>
    <xf numFmtId="0" fontId="16" fillId="3" borderId="20" xfId="0" applyFont="1" applyFill="1" applyBorder="1" applyAlignment="1" applyProtection="1">
      <alignment horizontal="right" vertical="top" wrapText="1"/>
    </xf>
    <xf numFmtId="0" fontId="16" fillId="3" borderId="21" xfId="0" applyFont="1" applyFill="1" applyBorder="1" applyAlignment="1" applyProtection="1">
      <alignment horizontal="right" vertical="top" wrapText="1"/>
    </xf>
    <xf numFmtId="0" fontId="25" fillId="21" borderId="28" xfId="0" applyFont="1" applyFill="1" applyBorder="1" applyAlignment="1" applyProtection="1">
      <alignment horizontal="center" vertical="center" wrapText="1"/>
    </xf>
    <xf numFmtId="0" fontId="25" fillId="21" borderId="52"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24" fillId="2" borderId="22" xfId="0" applyFont="1" applyFill="1" applyBorder="1" applyAlignment="1" applyProtection="1">
      <alignment horizontal="center" vertical="center"/>
    </xf>
    <xf numFmtId="0" fontId="24" fillId="2" borderId="24" xfId="0" applyFont="1" applyFill="1" applyBorder="1" applyAlignment="1" applyProtection="1">
      <alignment horizontal="center" vertical="center"/>
    </xf>
    <xf numFmtId="0" fontId="28" fillId="0" borderId="36"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6"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56" xfId="0" applyFont="1" applyBorder="1" applyAlignment="1">
      <alignment horizontal="center" vertical="center" wrapText="1"/>
    </xf>
    <xf numFmtId="0" fontId="30" fillId="2" borderId="36" xfId="0" applyFont="1" applyFill="1" applyBorder="1" applyAlignment="1">
      <alignment horizontal="center" vertical="center" wrapText="1"/>
    </xf>
    <xf numFmtId="0" fontId="30" fillId="2" borderId="53" xfId="0" applyFont="1" applyFill="1" applyBorder="1" applyAlignment="1">
      <alignment horizontal="center" vertical="center" wrapText="1"/>
    </xf>
    <xf numFmtId="0" fontId="30" fillId="2" borderId="56" xfId="0" applyFont="1" applyFill="1" applyBorder="1" applyAlignment="1">
      <alignment horizontal="center" vertical="center" wrapText="1"/>
    </xf>
    <xf numFmtId="0" fontId="29" fillId="0" borderId="36"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57" xfId="0" applyFont="1" applyBorder="1" applyAlignment="1">
      <alignment horizontal="center" vertical="center" wrapText="1"/>
    </xf>
    <xf numFmtId="0" fontId="30" fillId="0" borderId="36" xfId="0" applyFont="1" applyBorder="1" applyAlignment="1">
      <alignment horizontal="center" wrapText="1"/>
    </xf>
    <xf numFmtId="0" fontId="30" fillId="0" borderId="53" xfId="0" applyFont="1" applyBorder="1" applyAlignment="1">
      <alignment horizontal="center" wrapText="1"/>
    </xf>
    <xf numFmtId="0" fontId="30" fillId="0" borderId="56" xfId="0" applyFont="1" applyBorder="1" applyAlignment="1">
      <alignment horizontal="center" wrapText="1"/>
    </xf>
    <xf numFmtId="0" fontId="21" fillId="2" borderId="39" xfId="0" applyFont="1" applyFill="1" applyBorder="1" applyAlignment="1" applyProtection="1">
      <alignment horizontal="center"/>
    </xf>
    <xf numFmtId="0" fontId="21" fillId="2" borderId="15" xfId="0" applyFont="1" applyFill="1" applyBorder="1" applyAlignment="1" applyProtection="1">
      <alignment horizontal="center"/>
    </xf>
    <xf numFmtId="0" fontId="21" fillId="2" borderId="29" xfId="0" applyFont="1" applyFill="1" applyBorder="1" applyAlignment="1" applyProtection="1">
      <alignment horizontal="center"/>
    </xf>
    <xf numFmtId="0" fontId="23" fillId="3" borderId="20" xfId="0" applyFont="1" applyFill="1" applyBorder="1" applyAlignment="1" applyProtection="1">
      <alignment horizontal="center" wrapText="1"/>
    </xf>
    <xf numFmtId="0" fontId="23" fillId="3" borderId="0" xfId="0" applyFont="1" applyFill="1" applyBorder="1" applyAlignment="1" applyProtection="1">
      <alignment horizontal="center" wrapText="1"/>
    </xf>
    <xf numFmtId="0" fontId="25" fillId="3" borderId="0" xfId="0" applyFont="1" applyFill="1" applyBorder="1" applyAlignment="1" applyProtection="1">
      <alignment horizontal="center" vertical="center" wrapText="1"/>
    </xf>
    <xf numFmtId="0" fontId="25" fillId="3" borderId="21" xfId="0" applyFont="1" applyFill="1" applyBorder="1" applyAlignment="1" applyProtection="1">
      <alignment horizontal="center" vertical="center" wrapText="1"/>
    </xf>
    <xf numFmtId="3" fontId="21" fillId="2" borderId="47" xfId="0" applyNumberFormat="1" applyFont="1" applyFill="1" applyBorder="1" applyAlignment="1" applyProtection="1">
      <alignment horizontal="center" vertical="center" wrapText="1"/>
      <protection locked="0"/>
    </xf>
    <xf numFmtId="3" fontId="21" fillId="2" borderId="48" xfId="0" applyNumberFormat="1" applyFont="1" applyFill="1" applyBorder="1" applyAlignment="1" applyProtection="1">
      <alignment horizontal="center" vertical="center" wrapText="1"/>
      <protection locked="0"/>
    </xf>
    <xf numFmtId="3" fontId="21" fillId="2" borderId="49" xfId="0" applyNumberFormat="1" applyFont="1" applyFill="1" applyBorder="1" applyAlignment="1" applyProtection="1">
      <alignment horizontal="center" vertical="center" wrapText="1"/>
      <protection locked="0"/>
    </xf>
    <xf numFmtId="0" fontId="34" fillId="3" borderId="0" xfId="0" applyFont="1" applyFill="1" applyBorder="1" applyAlignment="1" applyProtection="1">
      <alignment vertical="top" wrapText="1"/>
    </xf>
    <xf numFmtId="0" fontId="25" fillId="3" borderId="0" xfId="0" applyFont="1" applyFill="1" applyBorder="1" applyAlignment="1" applyProtection="1">
      <alignment horizontal="left" vertical="center" wrapText="1"/>
    </xf>
    <xf numFmtId="0" fontId="25" fillId="2" borderId="39" xfId="0" applyFont="1" applyFill="1" applyBorder="1" applyAlignment="1" applyProtection="1">
      <alignment horizontal="center" vertical="top" wrapText="1"/>
    </xf>
    <xf numFmtId="0" fontId="25" fillId="2" borderId="15" xfId="0" applyFont="1" applyFill="1" applyBorder="1" applyAlignment="1" applyProtection="1">
      <alignment horizontal="center" vertical="top" wrapText="1"/>
    </xf>
    <xf numFmtId="0" fontId="25" fillId="2" borderId="29" xfId="0" applyFont="1" applyFill="1" applyBorder="1" applyAlignment="1" applyProtection="1">
      <alignment horizontal="center" vertical="top" wrapText="1"/>
    </xf>
    <xf numFmtId="0" fontId="23" fillId="3" borderId="0" xfId="0" applyFont="1" applyFill="1" applyBorder="1" applyAlignment="1" applyProtection="1">
      <alignment horizontal="center"/>
    </xf>
    <xf numFmtId="0" fontId="26" fillId="3" borderId="0" xfId="0" applyFont="1" applyFill="1" applyBorder="1" applyAlignment="1" applyProtection="1">
      <alignment horizontal="left" vertical="center" wrapText="1"/>
    </xf>
    <xf numFmtId="3" fontId="22" fillId="2" borderId="39" xfId="0" applyNumberFormat="1" applyFont="1" applyFill="1" applyBorder="1" applyAlignment="1" applyProtection="1">
      <alignment horizontal="left" vertical="top" wrapText="1"/>
      <protection locked="0"/>
    </xf>
    <xf numFmtId="3" fontId="22" fillId="2" borderId="15" xfId="0" applyNumberFormat="1" applyFont="1" applyFill="1" applyBorder="1" applyAlignment="1" applyProtection="1">
      <alignment horizontal="left" vertical="top" wrapText="1"/>
      <protection locked="0"/>
    </xf>
    <xf numFmtId="3" fontId="22" fillId="2" borderId="29" xfId="0" applyNumberFormat="1" applyFont="1" applyFill="1" applyBorder="1" applyAlignment="1" applyProtection="1">
      <alignment horizontal="left" vertical="top" wrapText="1"/>
      <protection locked="0"/>
    </xf>
    <xf numFmtId="3" fontId="21" fillId="2" borderId="44" xfId="0" applyNumberFormat="1" applyFont="1" applyFill="1" applyBorder="1" applyAlignment="1" applyProtection="1">
      <alignment horizontal="center" vertical="top" wrapText="1"/>
      <protection locked="0"/>
    </xf>
    <xf numFmtId="3" fontId="21" fillId="2" borderId="45" xfId="0" applyNumberFormat="1" applyFont="1" applyFill="1" applyBorder="1" applyAlignment="1" applyProtection="1">
      <alignment horizontal="center" vertical="top" wrapText="1"/>
      <protection locked="0"/>
    </xf>
    <xf numFmtId="3" fontId="21" fillId="2" borderId="46" xfId="0" applyNumberFormat="1" applyFont="1" applyFill="1" applyBorder="1" applyAlignment="1" applyProtection="1">
      <alignment horizontal="center" vertical="top" wrapText="1"/>
      <protection locked="0"/>
    </xf>
    <xf numFmtId="3" fontId="27" fillId="2" borderId="41" xfId="0" applyNumberFormat="1" applyFont="1" applyFill="1" applyBorder="1" applyAlignment="1" applyProtection="1">
      <alignment horizontal="center" vertical="center" wrapText="1"/>
      <protection locked="0"/>
    </xf>
    <xf numFmtId="3" fontId="27" fillId="2" borderId="42" xfId="0" applyNumberFormat="1" applyFont="1" applyFill="1" applyBorder="1" applyAlignment="1" applyProtection="1">
      <alignment horizontal="center" vertical="center" wrapText="1"/>
      <protection locked="0"/>
    </xf>
    <xf numFmtId="3" fontId="27" fillId="2" borderId="43" xfId="0" applyNumberFormat="1" applyFont="1" applyFill="1" applyBorder="1" applyAlignment="1" applyProtection="1">
      <alignment horizontal="center" vertical="center" wrapText="1"/>
      <protection locked="0"/>
    </xf>
    <xf numFmtId="0" fontId="26" fillId="3" borderId="0" xfId="0" applyFont="1" applyFill="1" applyBorder="1" applyAlignment="1" applyProtection="1">
      <alignment horizontal="left" vertical="top" wrapText="1"/>
    </xf>
    <xf numFmtId="0" fontId="25" fillId="2" borderId="56" xfId="0" applyFont="1" applyFill="1" applyBorder="1" applyAlignment="1" applyProtection="1">
      <alignment horizontal="center" vertical="center" wrapText="1"/>
    </xf>
    <xf numFmtId="0" fontId="25" fillId="2" borderId="11" xfId="0" applyFont="1" applyFill="1" applyBorder="1" applyAlignment="1" applyProtection="1">
      <alignment horizontal="center" vertical="center" wrapText="1"/>
    </xf>
    <xf numFmtId="0" fontId="22" fillId="2" borderId="53" xfId="0" applyFont="1" applyFill="1" applyBorder="1" applyAlignment="1" applyProtection="1">
      <alignment horizontal="center" vertical="center" wrapText="1"/>
    </xf>
    <xf numFmtId="0" fontId="22" fillId="2" borderId="56" xfId="0" applyFont="1" applyFill="1" applyBorder="1" applyAlignment="1" applyProtection="1">
      <alignment horizontal="center" vertical="center" wrapText="1"/>
    </xf>
    <xf numFmtId="0" fontId="9" fillId="0" borderId="36" xfId="0" applyFont="1" applyBorder="1" applyAlignment="1">
      <alignment horizontal="center" wrapText="1"/>
    </xf>
    <xf numFmtId="0" fontId="9" fillId="0" borderId="56" xfId="0" applyFont="1" applyBorder="1" applyAlignment="1">
      <alignment horizontal="center" wrapText="1"/>
    </xf>
    <xf numFmtId="0" fontId="25" fillId="3" borderId="23" xfId="0" applyFont="1" applyFill="1" applyBorder="1" applyAlignment="1" applyProtection="1">
      <alignment horizontal="left" vertical="center" wrapText="1"/>
    </xf>
    <xf numFmtId="0" fontId="25" fillId="0" borderId="18" xfId="0" applyFont="1" applyFill="1" applyBorder="1" applyAlignment="1" applyProtection="1">
      <alignment horizontal="left" vertical="center" wrapText="1"/>
    </xf>
    <xf numFmtId="0" fontId="25" fillId="0" borderId="18" xfId="0" applyFont="1" applyFill="1" applyBorder="1" applyAlignment="1" applyProtection="1">
      <alignment horizontal="center" vertical="top" wrapText="1"/>
    </xf>
    <xf numFmtId="0" fontId="22" fillId="0" borderId="0" xfId="0" applyFont="1" applyFill="1" applyBorder="1" applyAlignment="1" applyProtection="1">
      <alignment horizontal="left" vertical="center" wrapText="1"/>
    </xf>
    <xf numFmtId="0" fontId="22" fillId="0" borderId="0" xfId="0" applyFont="1" applyFill="1" applyBorder="1" applyAlignment="1" applyProtection="1">
      <alignment vertical="top" wrapText="1"/>
      <protection locked="0"/>
    </xf>
    <xf numFmtId="3" fontId="22" fillId="0" borderId="0" xfId="0" applyNumberFormat="1" applyFont="1" applyFill="1" applyBorder="1" applyAlignment="1" applyProtection="1">
      <alignment vertical="top" wrapText="1"/>
      <protection locked="0"/>
    </xf>
    <xf numFmtId="0" fontId="25" fillId="0" borderId="0" xfId="0" applyFont="1" applyFill="1" applyBorder="1" applyAlignment="1" applyProtection="1">
      <alignment horizontal="left" vertical="center" wrapText="1"/>
    </xf>
    <xf numFmtId="3" fontId="25" fillId="2" borderId="17" xfId="0" applyNumberFormat="1" applyFont="1" applyFill="1" applyBorder="1" applyAlignment="1" applyProtection="1">
      <alignment horizontal="center" vertical="top" wrapText="1"/>
      <protection locked="0"/>
    </xf>
    <xf numFmtId="3" fontId="25" fillId="2" borderId="18" xfId="0" applyNumberFormat="1" applyFont="1" applyFill="1" applyBorder="1" applyAlignment="1" applyProtection="1">
      <alignment horizontal="center" vertical="top" wrapText="1"/>
      <protection locked="0"/>
    </xf>
    <xf numFmtId="3" fontId="25" fillId="2" borderId="19" xfId="0" applyNumberFormat="1" applyFont="1" applyFill="1" applyBorder="1" applyAlignment="1" applyProtection="1">
      <alignment horizontal="center" vertical="top" wrapText="1"/>
      <protection locked="0"/>
    </xf>
    <xf numFmtId="3" fontId="25" fillId="2" borderId="22" xfId="0" applyNumberFormat="1" applyFont="1" applyFill="1" applyBorder="1" applyAlignment="1" applyProtection="1">
      <alignment horizontal="center" vertical="top" wrapText="1"/>
      <protection locked="0"/>
    </xf>
    <xf numFmtId="3" fontId="25" fillId="2" borderId="23" xfId="0" applyNumberFormat="1" applyFont="1" applyFill="1" applyBorder="1" applyAlignment="1" applyProtection="1">
      <alignment horizontal="center" vertical="top" wrapText="1"/>
      <protection locked="0"/>
    </xf>
    <xf numFmtId="3" fontId="25" fillId="2" borderId="24" xfId="0" applyNumberFormat="1" applyFont="1" applyFill="1" applyBorder="1" applyAlignment="1" applyProtection="1">
      <alignment horizontal="center" vertical="top" wrapText="1"/>
      <protection locked="0"/>
    </xf>
    <xf numFmtId="0" fontId="52" fillId="2" borderId="39" xfId="0" applyFont="1" applyFill="1" applyBorder="1" applyAlignment="1" applyProtection="1">
      <alignment horizontal="center"/>
    </xf>
    <xf numFmtId="0" fontId="52" fillId="2" borderId="15" xfId="0" applyFont="1" applyFill="1" applyBorder="1" applyAlignment="1" applyProtection="1">
      <alignment horizontal="center"/>
    </xf>
    <xf numFmtId="0" fontId="52" fillId="2" borderId="29" xfId="0" applyFont="1" applyFill="1" applyBorder="1" applyAlignment="1" applyProtection="1">
      <alignment horizontal="center"/>
    </xf>
    <xf numFmtId="49" fontId="10" fillId="3" borderId="21" xfId="0" applyNumberFormat="1" applyFont="1" applyFill="1" applyBorder="1" applyAlignment="1">
      <alignment horizontal="left" vertical="top"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5" fillId="3" borderId="0" xfId="0" applyFont="1" applyFill="1" applyBorder="1" applyAlignment="1" applyProtection="1">
      <alignment horizontal="left" vertical="top" wrapText="1"/>
    </xf>
    <xf numFmtId="0" fontId="15" fillId="3" borderId="0" xfId="0" applyFont="1" applyFill="1" applyBorder="1" applyAlignment="1" applyProtection="1">
      <alignment horizontal="left"/>
    </xf>
    <xf numFmtId="0" fontId="15" fillId="3" borderId="21" xfId="0" applyFont="1" applyFill="1" applyBorder="1" applyAlignment="1" applyProtection="1">
      <alignment horizontal="left"/>
    </xf>
    <xf numFmtId="0" fontId="15" fillId="2" borderId="20" xfId="0" applyFont="1" applyFill="1" applyBorder="1" applyAlignment="1" applyProtection="1">
      <alignment horizontal="center"/>
    </xf>
    <xf numFmtId="0" fontId="15" fillId="2" borderId="0" xfId="0" applyFont="1" applyFill="1" applyBorder="1" applyAlignment="1" applyProtection="1">
      <alignment horizontal="center"/>
    </xf>
    <xf numFmtId="0" fontId="10" fillId="2" borderId="0" xfId="0" applyFont="1" applyFill="1" applyBorder="1" applyAlignment="1" applyProtection="1">
      <alignment horizontal="left" vertical="top" wrapText="1"/>
    </xf>
    <xf numFmtId="0" fontId="21" fillId="3" borderId="0" xfId="0" applyFont="1" applyFill="1" applyBorder="1" applyAlignment="1" applyProtection="1">
      <alignment horizontal="center"/>
    </xf>
    <xf numFmtId="0" fontId="21" fillId="2" borderId="0" xfId="0" applyFont="1" applyFill="1" applyBorder="1" applyAlignment="1" applyProtection="1">
      <alignment horizontal="center"/>
    </xf>
    <xf numFmtId="0" fontId="53" fillId="3" borderId="0" xfId="0" applyFont="1" applyFill="1" applyBorder="1" applyAlignment="1" applyProtection="1">
      <alignment horizontal="left" vertical="center" wrapText="1"/>
    </xf>
    <xf numFmtId="0" fontId="15" fillId="19" borderId="47" xfId="0" applyFont="1" applyFill="1" applyBorder="1" applyAlignment="1" applyProtection="1">
      <alignment horizontal="center" vertical="top" wrapText="1"/>
    </xf>
    <xf numFmtId="0" fontId="15" fillId="19" borderId="48" xfId="0" applyFont="1" applyFill="1" applyBorder="1" applyAlignment="1" applyProtection="1">
      <alignment horizontal="center" vertical="top" wrapText="1"/>
    </xf>
    <xf numFmtId="0" fontId="15" fillId="19" borderId="49" xfId="0" applyFont="1" applyFill="1" applyBorder="1" applyAlignment="1" applyProtection="1">
      <alignment horizontal="center" vertical="top" wrapText="1"/>
    </xf>
    <xf numFmtId="0" fontId="53" fillId="2" borderId="63" xfId="0" applyFont="1" applyFill="1" applyBorder="1" applyAlignment="1" applyProtection="1">
      <alignment horizontal="center" vertical="center" wrapText="1"/>
    </xf>
    <xf numFmtId="0" fontId="15" fillId="19" borderId="28" xfId="0" applyFont="1" applyFill="1" applyBorder="1" applyAlignment="1" applyProtection="1">
      <alignment horizontal="center" vertical="top" wrapText="1"/>
    </xf>
    <xf numFmtId="0" fontId="15" fillId="19" borderId="52" xfId="0" applyFont="1" applyFill="1" applyBorder="1" applyAlignment="1" applyProtection="1">
      <alignment horizontal="center" vertical="top" wrapText="1"/>
    </xf>
    <xf numFmtId="0" fontId="10" fillId="2" borderId="14" xfId="0" applyFont="1" applyFill="1" applyBorder="1" applyAlignment="1" applyProtection="1">
      <alignment horizontal="center" vertical="top" wrapText="1"/>
    </xf>
    <xf numFmtId="0" fontId="10" fillId="2" borderId="25" xfId="0" applyFont="1" applyFill="1" applyBorder="1" applyAlignment="1" applyProtection="1">
      <alignment horizontal="center" vertical="top" wrapText="1"/>
    </xf>
    <xf numFmtId="0" fontId="10" fillId="2" borderId="26" xfId="0" applyFont="1" applyFill="1" applyBorder="1" applyAlignment="1" applyProtection="1">
      <alignment horizontal="center" vertical="top" wrapText="1"/>
    </xf>
    <xf numFmtId="0" fontId="10" fillId="2" borderId="20" xfId="0" applyFont="1" applyFill="1" applyBorder="1" applyAlignment="1" applyProtection="1">
      <alignment horizontal="center" vertical="top" wrapText="1"/>
    </xf>
    <xf numFmtId="0" fontId="10" fillId="2" borderId="0" xfId="0" applyFont="1" applyFill="1" applyBorder="1" applyAlignment="1" applyProtection="1">
      <alignment horizontal="center" vertical="top" wrapText="1"/>
    </xf>
    <xf numFmtId="0" fontId="10" fillId="2" borderId="54" xfId="0" applyFont="1" applyFill="1" applyBorder="1" applyAlignment="1" applyProtection="1">
      <alignment horizontal="center" vertical="top" wrapText="1"/>
    </xf>
    <xf numFmtId="0" fontId="10" fillId="2" borderId="22" xfId="0" applyFont="1" applyFill="1" applyBorder="1" applyAlignment="1" applyProtection="1">
      <alignment horizontal="center" vertical="top" wrapText="1"/>
    </xf>
    <xf numFmtId="0" fontId="10" fillId="2" borderId="23" xfId="0" applyFont="1" applyFill="1" applyBorder="1" applyAlignment="1" applyProtection="1">
      <alignment horizontal="center" vertical="top" wrapText="1"/>
    </xf>
    <xf numFmtId="0" fontId="10" fillId="2" borderId="67" xfId="0" applyFont="1" applyFill="1" applyBorder="1" applyAlignment="1" applyProtection="1">
      <alignment horizontal="center" vertical="top" wrapText="1"/>
    </xf>
    <xf numFmtId="0" fontId="15" fillId="2" borderId="30"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53" fillId="3" borderId="0" xfId="0" applyFont="1" applyFill="1" applyBorder="1" applyAlignment="1" applyProtection="1">
      <alignment horizontal="left" vertical="top" wrapText="1"/>
    </xf>
    <xf numFmtId="0" fontId="8" fillId="3" borderId="0" xfId="0" applyFont="1" applyFill="1" applyAlignment="1">
      <alignment horizontal="left"/>
    </xf>
    <xf numFmtId="0" fontId="10" fillId="2" borderId="5" xfId="0" applyFont="1" applyFill="1" applyBorder="1" applyAlignment="1" applyProtection="1">
      <alignment horizontal="left" vertical="top" wrapText="1"/>
    </xf>
    <xf numFmtId="0" fontId="10" fillId="2" borderId="40" xfId="0" applyFont="1" applyFill="1" applyBorder="1" applyAlignment="1" applyProtection="1">
      <alignment horizontal="left" vertical="top" wrapText="1"/>
    </xf>
    <xf numFmtId="0" fontId="10" fillId="2" borderId="6" xfId="0" applyFont="1" applyFill="1" applyBorder="1" applyAlignment="1" applyProtection="1">
      <alignment horizontal="left" vertical="top" wrapText="1"/>
    </xf>
    <xf numFmtId="0" fontId="10" fillId="2" borderId="7"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10" fillId="0" borderId="61" xfId="0" applyFont="1" applyFill="1" applyBorder="1" applyAlignment="1" applyProtection="1">
      <alignment horizontal="left" vertical="top" wrapText="1"/>
    </xf>
    <xf numFmtId="0" fontId="10" fillId="0" borderId="62" xfId="0" applyFont="1" applyFill="1" applyBorder="1" applyAlignment="1" applyProtection="1">
      <alignment horizontal="left" vertical="top" wrapText="1"/>
    </xf>
    <xf numFmtId="0" fontId="55" fillId="3" borderId="0" xfId="0" applyFont="1" applyFill="1" applyAlignment="1">
      <alignment horizontal="left"/>
    </xf>
    <xf numFmtId="0" fontId="56" fillId="2" borderId="5" xfId="0" applyFont="1" applyFill="1" applyBorder="1" applyAlignment="1" applyProtection="1">
      <alignment horizontal="left" vertical="center" wrapText="1"/>
    </xf>
    <xf numFmtId="0" fontId="56" fillId="2" borderId="40" xfId="0" applyFont="1" applyFill="1" applyBorder="1" applyAlignment="1" applyProtection="1">
      <alignment horizontal="left" vertical="center" wrapText="1"/>
    </xf>
    <xf numFmtId="0" fontId="8" fillId="3" borderId="0" xfId="0" applyFont="1" applyFill="1" applyAlignment="1">
      <alignment horizontal="left" wrapText="1"/>
    </xf>
    <xf numFmtId="0" fontId="10" fillId="3" borderId="0" xfId="0" applyFont="1" applyFill="1" applyBorder="1" applyAlignment="1" applyProtection="1">
      <alignment horizontal="left" vertical="top" wrapText="1"/>
    </xf>
    <xf numFmtId="0" fontId="10" fillId="2" borderId="39"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16" fillId="0" borderId="0" xfId="0" applyFont="1" applyFill="1" applyBorder="1" applyAlignment="1" applyProtection="1">
      <alignment vertical="top" wrapText="1"/>
    </xf>
    <xf numFmtId="0" fontId="57" fillId="0" borderId="0" xfId="0" applyFont="1" applyFill="1" applyBorder="1" applyAlignment="1" applyProtection="1">
      <alignment vertical="top" wrapText="1"/>
    </xf>
    <xf numFmtId="0" fontId="12" fillId="0" borderId="0" xfId="0" applyFont="1" applyFill="1" applyBorder="1" applyAlignment="1" applyProtection="1">
      <alignment vertical="top" wrapText="1"/>
    </xf>
    <xf numFmtId="3" fontId="12" fillId="0" borderId="0" xfId="0" applyNumberFormat="1" applyFont="1" applyFill="1" applyBorder="1" applyAlignment="1" applyProtection="1">
      <alignment vertical="top" wrapText="1"/>
      <protection locked="0"/>
    </xf>
    <xf numFmtId="0" fontId="12" fillId="0" borderId="0" xfId="0" applyFont="1" applyFill="1" applyBorder="1" applyAlignment="1" applyProtection="1">
      <alignment vertical="top" wrapText="1"/>
      <protection locked="0"/>
    </xf>
    <xf numFmtId="0" fontId="16" fillId="0" borderId="0" xfId="0" applyFont="1" applyFill="1" applyBorder="1" applyAlignment="1" applyProtection="1">
      <alignment horizontal="center" vertical="top" wrapText="1"/>
    </xf>
    <xf numFmtId="0" fontId="34" fillId="3" borderId="18" xfId="0" applyFont="1" applyFill="1" applyBorder="1" applyAlignment="1" applyProtection="1">
      <alignment horizontal="center" wrapText="1"/>
    </xf>
    <xf numFmtId="0" fontId="25" fillId="3" borderId="23" xfId="0" applyFont="1" applyFill="1" applyBorder="1" applyAlignment="1" applyProtection="1">
      <alignment horizontal="center" vertical="center" wrapText="1"/>
    </xf>
    <xf numFmtId="0" fontId="22" fillId="2" borderId="39" xfId="0" applyFont="1" applyFill="1" applyBorder="1" applyAlignment="1" applyProtection="1">
      <alignment horizontal="left" vertical="center" wrapText="1"/>
    </xf>
    <xf numFmtId="0" fontId="22" fillId="2" borderId="29" xfId="0" applyFont="1" applyFill="1" applyBorder="1" applyAlignment="1" applyProtection="1">
      <alignment horizontal="left" vertical="center" wrapText="1"/>
    </xf>
    <xf numFmtId="0" fontId="22" fillId="2" borderId="39" xfId="0" applyFont="1" applyFill="1" applyBorder="1" applyAlignment="1" applyProtection="1">
      <alignment horizontal="left" vertical="top" wrapText="1"/>
    </xf>
    <xf numFmtId="0" fontId="22" fillId="2" borderId="29" xfId="0" applyFont="1" applyFill="1" applyBorder="1" applyAlignment="1" applyProtection="1">
      <alignment horizontal="left" vertical="top" wrapText="1"/>
    </xf>
    <xf numFmtId="0" fontId="30" fillId="0" borderId="39" xfId="0" applyFont="1" applyBorder="1" applyAlignment="1">
      <alignment horizontal="center" vertical="top" wrapText="1"/>
    </xf>
    <xf numFmtId="0" fontId="30" fillId="0" borderId="29" xfId="0" applyFont="1" applyBorder="1" applyAlignment="1">
      <alignment horizontal="center" vertical="top" wrapText="1"/>
    </xf>
    <xf numFmtId="0" fontId="37" fillId="2" borderId="39" xfId="0" applyFont="1" applyFill="1" applyBorder="1" applyAlignment="1" applyProtection="1">
      <alignment horizontal="center" vertical="center" wrapText="1"/>
    </xf>
    <xf numFmtId="0" fontId="37" fillId="2" borderId="15" xfId="0" applyFont="1" applyFill="1" applyBorder="1" applyAlignment="1" applyProtection="1">
      <alignment horizontal="center" vertical="center" wrapText="1"/>
    </xf>
    <xf numFmtId="0" fontId="37" fillId="2" borderId="29" xfId="0" applyFont="1" applyFill="1" applyBorder="1" applyAlignment="1" applyProtection="1">
      <alignment horizontal="center" vertical="center" wrapText="1"/>
    </xf>
    <xf numFmtId="0" fontId="27" fillId="2" borderId="39" xfId="0" applyFont="1" applyFill="1" applyBorder="1" applyAlignment="1" applyProtection="1">
      <alignment horizontal="left" vertical="center" wrapText="1"/>
    </xf>
    <xf numFmtId="0" fontId="27" fillId="2" borderId="29" xfId="0" applyFont="1" applyFill="1" applyBorder="1" applyAlignment="1" applyProtection="1">
      <alignment horizontal="left" vertical="center" wrapText="1"/>
    </xf>
    <xf numFmtId="0" fontId="38" fillId="2" borderId="15" xfId="0" applyFont="1" applyFill="1" applyBorder="1" applyAlignment="1" applyProtection="1">
      <alignment horizontal="center" vertical="center" wrapText="1"/>
    </xf>
    <xf numFmtId="0" fontId="38" fillId="2" borderId="29" xfId="0" applyFont="1" applyFill="1" applyBorder="1" applyAlignment="1" applyProtection="1">
      <alignment horizontal="center" vertical="center" wrapText="1"/>
    </xf>
    <xf numFmtId="0" fontId="30" fillId="0" borderId="15" xfId="0" applyFont="1" applyBorder="1" applyAlignment="1">
      <alignment horizontal="left" vertical="top" wrapText="1"/>
    </xf>
    <xf numFmtId="0" fontId="30" fillId="0" borderId="29" xfId="0" applyFont="1" applyBorder="1" applyAlignment="1">
      <alignment horizontal="left" vertical="top" wrapText="1"/>
    </xf>
    <xf numFmtId="0" fontId="39" fillId="0" borderId="39" xfId="0" applyFont="1" applyBorder="1" applyAlignment="1">
      <alignment horizontal="center"/>
    </xf>
    <xf numFmtId="0" fontId="39" fillId="0" borderId="15" xfId="0" applyFont="1" applyBorder="1" applyAlignment="1">
      <alignment horizontal="center"/>
    </xf>
    <xf numFmtId="0" fontId="42" fillId="2" borderId="39" xfId="1" applyFont="1" applyFill="1" applyBorder="1" applyAlignment="1" applyProtection="1">
      <alignment horizontal="center"/>
      <protection locked="0"/>
    </xf>
    <xf numFmtId="0" fontId="22" fillId="2" borderId="15" xfId="0" applyFont="1" applyFill="1" applyBorder="1" applyAlignment="1" applyProtection="1">
      <alignment horizontal="center"/>
      <protection locked="0"/>
    </xf>
    <xf numFmtId="0" fontId="22" fillId="2" borderId="29" xfId="0" applyFont="1" applyFill="1" applyBorder="1" applyAlignment="1" applyProtection="1">
      <alignment horizontal="center"/>
      <protection locked="0"/>
    </xf>
    <xf numFmtId="0" fontId="22" fillId="2" borderId="39" xfId="0" applyFont="1" applyFill="1" applyBorder="1" applyAlignment="1" applyProtection="1">
      <alignment horizontal="center" vertical="top" wrapText="1"/>
    </xf>
    <xf numFmtId="0" fontId="22" fillId="2" borderId="29" xfId="0" applyFont="1" applyFill="1" applyBorder="1" applyAlignment="1" applyProtection="1">
      <alignment horizontal="center" vertical="top" wrapText="1"/>
    </xf>
    <xf numFmtId="0" fontId="37" fillId="2" borderId="17" xfId="0" applyFont="1" applyFill="1" applyBorder="1" applyAlignment="1" applyProtection="1">
      <alignment horizontal="center" vertical="top" wrapText="1"/>
    </xf>
    <xf numFmtId="0" fontId="38" fillId="2" borderId="18" xfId="0" applyFont="1" applyFill="1" applyBorder="1" applyAlignment="1" applyProtection="1">
      <alignment horizontal="center" vertical="top" wrapText="1"/>
    </xf>
    <xf numFmtId="0" fontId="38" fillId="2" borderId="19" xfId="0" applyFont="1" applyFill="1" applyBorder="1" applyAlignment="1" applyProtection="1">
      <alignment horizontal="center" vertical="top" wrapText="1"/>
    </xf>
    <xf numFmtId="0" fontId="30" fillId="0" borderId="11" xfId="0" applyFont="1" applyBorder="1" applyAlignment="1">
      <alignment horizontal="left" vertical="top" wrapText="1"/>
    </xf>
    <xf numFmtId="0" fontId="22" fillId="2" borderId="11" xfId="0" applyFont="1" applyFill="1" applyBorder="1" applyAlignment="1" applyProtection="1">
      <alignment horizontal="left" vertical="top" wrapText="1"/>
    </xf>
    <xf numFmtId="0" fontId="22" fillId="2" borderId="39" xfId="0" applyFont="1" applyFill="1" applyBorder="1" applyAlignment="1" applyProtection="1">
      <alignment horizontal="center" vertical="center" wrapText="1"/>
    </xf>
    <xf numFmtId="0" fontId="22" fillId="2" borderId="29" xfId="0" applyFont="1" applyFill="1" applyBorder="1" applyAlignment="1" applyProtection="1">
      <alignment horizontal="center" vertical="center" wrapText="1"/>
    </xf>
    <xf numFmtId="0" fontId="22" fillId="2" borderId="39" xfId="0" applyFont="1" applyFill="1" applyBorder="1" applyAlignment="1" applyProtection="1">
      <alignment horizontal="center" vertical="center"/>
      <protection locked="0"/>
    </xf>
    <xf numFmtId="0" fontId="22" fillId="2" borderId="15" xfId="0" applyFont="1" applyFill="1" applyBorder="1" applyAlignment="1" applyProtection="1">
      <alignment horizontal="center" vertical="center"/>
      <protection locked="0"/>
    </xf>
    <xf numFmtId="0" fontId="22" fillId="2" borderId="29" xfId="0" applyFont="1" applyFill="1" applyBorder="1" applyAlignment="1" applyProtection="1">
      <alignment horizontal="center" vertical="center"/>
      <protection locked="0"/>
    </xf>
    <xf numFmtId="0" fontId="22" fillId="2" borderId="17" xfId="0" applyFont="1" applyFill="1" applyBorder="1" applyAlignment="1" applyProtection="1">
      <alignment horizontal="left" vertical="center" wrapText="1"/>
    </xf>
    <xf numFmtId="0" fontId="22" fillId="2" borderId="18" xfId="0" applyFont="1" applyFill="1" applyBorder="1" applyAlignment="1" applyProtection="1">
      <alignment horizontal="left" vertical="center" wrapText="1"/>
    </xf>
    <xf numFmtId="0" fontId="22" fillId="2" borderId="19" xfId="0" applyFont="1" applyFill="1" applyBorder="1" applyAlignment="1" applyProtection="1">
      <alignment horizontal="left" vertical="center" wrapText="1"/>
    </xf>
    <xf numFmtId="0" fontId="22" fillId="2" borderId="20" xfId="0" applyFont="1" applyFill="1" applyBorder="1" applyAlignment="1" applyProtection="1">
      <alignment horizontal="left" vertical="center" wrapText="1"/>
    </xf>
    <xf numFmtId="0" fontId="22" fillId="2" borderId="0" xfId="0" applyFont="1" applyFill="1" applyBorder="1" applyAlignment="1" applyProtection="1">
      <alignment horizontal="left" vertical="center" wrapText="1"/>
    </xf>
    <xf numFmtId="0" fontId="22" fillId="2" borderId="21" xfId="0" applyFont="1" applyFill="1" applyBorder="1" applyAlignment="1" applyProtection="1">
      <alignment horizontal="left" vertical="center" wrapText="1"/>
    </xf>
    <xf numFmtId="0" fontId="22" fillId="2" borderId="22" xfId="0" applyFont="1" applyFill="1" applyBorder="1" applyAlignment="1" applyProtection="1">
      <alignment horizontal="left" vertical="center" wrapText="1"/>
    </xf>
    <xf numFmtId="0" fontId="22" fillId="2" borderId="23" xfId="0" applyFont="1" applyFill="1" applyBorder="1" applyAlignment="1" applyProtection="1">
      <alignment horizontal="left" vertical="center" wrapText="1"/>
    </xf>
    <xf numFmtId="0" fontId="22" fillId="2" borderId="24" xfId="0" applyFont="1" applyFill="1" applyBorder="1" applyAlignment="1" applyProtection="1">
      <alignment horizontal="left" vertical="center" wrapText="1"/>
    </xf>
    <xf numFmtId="0" fontId="22" fillId="2" borderId="11" xfId="0" applyFont="1" applyFill="1" applyBorder="1" applyAlignment="1" applyProtection="1">
      <alignment horizontal="center" vertical="center" wrapText="1"/>
    </xf>
    <xf numFmtId="0" fontId="25" fillId="2" borderId="23" xfId="0" applyFont="1" applyFill="1" applyBorder="1" applyAlignment="1" applyProtection="1">
      <alignment horizontal="center" vertical="center" wrapText="1"/>
    </xf>
    <xf numFmtId="0" fontId="22" fillId="2" borderId="23"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5" fillId="2" borderId="39"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30" fillId="0" borderId="15" xfId="0" applyFont="1" applyBorder="1" applyAlignment="1">
      <alignment horizontal="center" vertical="top" wrapText="1"/>
    </xf>
    <xf numFmtId="0" fontId="34" fillId="3" borderId="21" xfId="0" applyFont="1" applyFill="1" applyBorder="1" applyAlignment="1" applyProtection="1">
      <alignment horizontal="center" vertical="center" wrapText="1"/>
    </xf>
    <xf numFmtId="0" fontId="27" fillId="2" borderId="17" xfId="0" applyFont="1" applyFill="1" applyBorder="1" applyAlignment="1" applyProtection="1">
      <alignment horizontal="left" vertical="center" wrapText="1"/>
    </xf>
    <xf numFmtId="0" fontId="27" fillId="2" borderId="18" xfId="0" applyFont="1" applyFill="1" applyBorder="1" applyAlignment="1" applyProtection="1">
      <alignment horizontal="left" vertical="center" wrapText="1"/>
    </xf>
    <xf numFmtId="0" fontId="27" fillId="2" borderId="19" xfId="0" applyFont="1" applyFill="1" applyBorder="1" applyAlignment="1" applyProtection="1">
      <alignment horizontal="left" vertical="center" wrapText="1"/>
    </xf>
    <xf numFmtId="0" fontId="27" fillId="2" borderId="2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wrapText="1"/>
    </xf>
    <xf numFmtId="0" fontId="27" fillId="2" borderId="21" xfId="0" applyFont="1" applyFill="1" applyBorder="1" applyAlignment="1" applyProtection="1">
      <alignment horizontal="left" vertical="center" wrapText="1"/>
    </xf>
    <xf numFmtId="0" fontId="27" fillId="2" borderId="22" xfId="0" applyFont="1" applyFill="1" applyBorder="1" applyAlignment="1" applyProtection="1">
      <alignment horizontal="left" vertical="center" wrapText="1"/>
    </xf>
    <xf numFmtId="0" fontId="27" fillId="2" borderId="23" xfId="0" applyFont="1" applyFill="1" applyBorder="1" applyAlignment="1" applyProtection="1">
      <alignment horizontal="left" vertical="center" wrapText="1"/>
    </xf>
    <xf numFmtId="0" fontId="27" fillId="2" borderId="24" xfId="0" applyFont="1" applyFill="1" applyBorder="1" applyAlignment="1" applyProtection="1">
      <alignment horizontal="left" vertical="center" wrapText="1"/>
    </xf>
    <xf numFmtId="0" fontId="28" fillId="0" borderId="39" xfId="0" applyFont="1" applyBorder="1" applyAlignment="1">
      <alignment horizontal="center"/>
    </xf>
    <xf numFmtId="0" fontId="28" fillId="0" borderId="15" xfId="0" applyFont="1" applyBorder="1" applyAlignment="1">
      <alignment horizontal="center"/>
    </xf>
    <xf numFmtId="0" fontId="25" fillId="2" borderId="17" xfId="0" applyFont="1" applyFill="1" applyBorder="1" applyAlignment="1" applyProtection="1">
      <alignment horizontal="center" vertical="top" wrapText="1"/>
    </xf>
    <xf numFmtId="0" fontId="22" fillId="2" borderId="18" xfId="0" applyFont="1" applyFill="1" applyBorder="1" applyAlignment="1" applyProtection="1">
      <alignment horizontal="center" vertical="top" wrapText="1"/>
    </xf>
    <xf numFmtId="0" fontId="22" fillId="2" borderId="19" xfId="0" applyFont="1" applyFill="1" applyBorder="1" applyAlignment="1" applyProtection="1">
      <alignment horizontal="center" vertical="top" wrapText="1"/>
    </xf>
    <xf numFmtId="0" fontId="22" fillId="2" borderId="39" xfId="0" applyFont="1" applyFill="1" applyBorder="1" applyAlignment="1" applyProtection="1">
      <alignment horizontal="center"/>
      <protection locked="0"/>
    </xf>
    <xf numFmtId="0" fontId="2" fillId="2" borderId="39" xfId="1" applyFill="1" applyBorder="1" applyAlignment="1" applyProtection="1">
      <alignment horizontal="center"/>
      <protection locked="0"/>
    </xf>
    <xf numFmtId="0" fontId="42" fillId="2" borderId="15" xfId="1" applyFont="1" applyFill="1" applyBorder="1" applyAlignment="1" applyProtection="1">
      <alignment horizontal="center"/>
      <protection locked="0"/>
    </xf>
    <xf numFmtId="0" fontId="25" fillId="2" borderId="29" xfId="0" applyFont="1" applyFill="1" applyBorder="1" applyAlignment="1" applyProtection="1">
      <alignment horizontal="center" vertical="center" wrapText="1"/>
    </xf>
    <xf numFmtId="0" fontId="27" fillId="2" borderId="41" xfId="0" applyFont="1" applyFill="1" applyBorder="1" applyAlignment="1" applyProtection="1">
      <alignment horizontal="left" vertical="center" wrapText="1"/>
    </xf>
    <xf numFmtId="0" fontId="27" fillId="2" borderId="42" xfId="0" applyFont="1" applyFill="1" applyBorder="1" applyAlignment="1" applyProtection="1">
      <alignment horizontal="left" vertical="center" wrapText="1"/>
    </xf>
    <xf numFmtId="0" fontId="27" fillId="2" borderId="43" xfId="0" applyFont="1" applyFill="1" applyBorder="1" applyAlignment="1" applyProtection="1">
      <alignment horizontal="left" vertical="center" wrapText="1"/>
    </xf>
    <xf numFmtId="0" fontId="51" fillId="3" borderId="0" xfId="0" applyFont="1" applyFill="1" applyBorder="1" applyAlignment="1" applyProtection="1">
      <alignment horizontal="left" vertical="center" wrapText="1"/>
    </xf>
    <xf numFmtId="0" fontId="27" fillId="2" borderId="44" xfId="0" applyFont="1" applyFill="1" applyBorder="1" applyAlignment="1" applyProtection="1">
      <alignment horizontal="left" vertical="center" wrapText="1"/>
    </xf>
    <xf numFmtId="0" fontId="27" fillId="2" borderId="45" xfId="0" applyFont="1" applyFill="1" applyBorder="1" applyAlignment="1" applyProtection="1">
      <alignment horizontal="left" vertical="center" wrapText="1"/>
    </xf>
    <xf numFmtId="0" fontId="27" fillId="2" borderId="46" xfId="0" applyFont="1" applyFill="1" applyBorder="1" applyAlignment="1" applyProtection="1">
      <alignment horizontal="left" vertical="center" wrapText="1"/>
    </xf>
    <xf numFmtId="0" fontId="27" fillId="2" borderId="47" xfId="0" applyFont="1" applyFill="1" applyBorder="1" applyAlignment="1" applyProtection="1">
      <alignment horizontal="left" vertical="center" wrapText="1"/>
    </xf>
    <xf numFmtId="0" fontId="27" fillId="2" borderId="48" xfId="0" applyFont="1" applyFill="1" applyBorder="1" applyAlignment="1" applyProtection="1">
      <alignment horizontal="left" vertical="center" wrapText="1"/>
    </xf>
    <xf numFmtId="0" fontId="27" fillId="2" borderId="49" xfId="0" applyFont="1" applyFill="1" applyBorder="1" applyAlignment="1" applyProtection="1">
      <alignment horizontal="left" vertical="center" wrapText="1"/>
    </xf>
    <xf numFmtId="0" fontId="12" fillId="2" borderId="47" xfId="0" applyFont="1" applyFill="1" applyBorder="1" applyAlignment="1" applyProtection="1">
      <alignment horizontal="center" vertical="top" wrapText="1"/>
    </xf>
    <xf numFmtId="0" fontId="12" fillId="2" borderId="49" xfId="0" applyFont="1" applyFill="1" applyBorder="1" applyAlignment="1" applyProtection="1">
      <alignment horizontal="center" vertical="top" wrapText="1"/>
    </xf>
    <xf numFmtId="0" fontId="12" fillId="2" borderId="52" xfId="0" applyFont="1" applyFill="1" applyBorder="1" applyAlignment="1" applyProtection="1">
      <alignment horizontal="center" vertical="center" wrapText="1"/>
    </xf>
    <xf numFmtId="0" fontId="12" fillId="2" borderId="28" xfId="0" applyFont="1" applyFill="1" applyBorder="1" applyAlignment="1" applyProtection="1">
      <alignment horizontal="center" vertical="center" wrapText="1"/>
    </xf>
    <xf numFmtId="0" fontId="12" fillId="2" borderId="52"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48" xfId="0" applyFont="1" applyFill="1" applyBorder="1" applyAlignment="1" applyProtection="1">
      <alignment horizontal="center" vertical="center" wrapText="1"/>
    </xf>
    <xf numFmtId="0" fontId="12" fillId="2" borderId="49" xfId="0" applyFont="1" applyFill="1" applyBorder="1" applyAlignment="1" applyProtection="1">
      <alignment horizontal="center" vertical="center" wrapText="1"/>
    </xf>
    <xf numFmtId="0" fontId="12" fillId="2" borderId="48" xfId="0" applyFont="1" applyFill="1" applyBorder="1" applyAlignment="1" applyProtection="1">
      <alignment horizontal="center" vertical="top" wrapText="1"/>
    </xf>
    <xf numFmtId="0" fontId="13" fillId="0" borderId="15" xfId="0" applyFont="1" applyBorder="1"/>
    <xf numFmtId="0" fontId="13" fillId="0" borderId="29" xfId="0" applyFont="1" applyBorder="1"/>
    <xf numFmtId="0" fontId="55" fillId="3" borderId="18" xfId="0" applyFont="1" applyFill="1" applyBorder="1" applyAlignment="1">
      <alignment horizontal="center"/>
    </xf>
    <xf numFmtId="0" fontId="53" fillId="3" borderId="0" xfId="0" applyFont="1" applyFill="1" applyBorder="1" applyAlignment="1" applyProtection="1">
      <alignment horizontal="center" wrapText="1"/>
    </xf>
    <xf numFmtId="0" fontId="16" fillId="2" borderId="2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2" fillId="2" borderId="45" xfId="0" applyFont="1" applyFill="1" applyBorder="1" applyAlignment="1" applyProtection="1">
      <alignment horizontal="center" vertical="top" wrapText="1"/>
    </xf>
    <xf numFmtId="0" fontId="12" fillId="2" borderId="46" xfId="0" applyFont="1" applyFill="1" applyBorder="1" applyAlignment="1" applyProtection="1">
      <alignment horizontal="center" vertical="top" wrapText="1"/>
    </xf>
    <xf numFmtId="0" fontId="18" fillId="3" borderId="0" xfId="0" applyFont="1" applyFill="1" applyBorder="1" applyAlignment="1" applyProtection="1">
      <alignment horizontal="center" vertical="center" wrapText="1"/>
    </xf>
    <xf numFmtId="0" fontId="59" fillId="0" borderId="11" xfId="0" applyFont="1" applyFill="1" applyBorder="1" applyAlignment="1" applyProtection="1">
      <alignment horizontal="center" vertical="center" wrapText="1"/>
    </xf>
    <xf numFmtId="0" fontId="28" fillId="3" borderId="11" xfId="0" applyFont="1" applyFill="1" applyBorder="1" applyAlignment="1">
      <alignment horizontal="center"/>
    </xf>
    <xf numFmtId="0" fontId="58" fillId="3" borderId="64" xfId="0" applyFont="1" applyFill="1" applyBorder="1" applyAlignment="1">
      <alignment horizontal="center" vertical="center" wrapText="1"/>
    </xf>
    <xf numFmtId="0" fontId="58" fillId="3" borderId="0" xfId="0" applyFont="1" applyFill="1" applyBorder="1" applyAlignment="1">
      <alignment horizontal="center" vertical="center" wrapText="1"/>
    </xf>
    <xf numFmtId="0" fontId="58" fillId="3" borderId="63" xfId="0" applyFont="1" applyFill="1" applyBorder="1" applyAlignment="1">
      <alignment horizontal="center" vertical="center" wrapText="1"/>
    </xf>
    <xf numFmtId="0" fontId="16" fillId="3" borderId="11" xfId="0" applyFont="1" applyFill="1" applyBorder="1" applyAlignment="1" applyProtection="1">
      <alignment horizontal="center" vertical="center" wrapText="1"/>
    </xf>
    <xf numFmtId="0" fontId="16" fillId="3" borderId="61" xfId="0" applyFont="1" applyFill="1" applyBorder="1" applyAlignment="1" applyProtection="1">
      <alignment horizontal="center" vertical="center" wrapText="1"/>
    </xf>
    <xf numFmtId="0" fontId="16" fillId="3" borderId="20" xfId="0" applyFont="1" applyFill="1" applyBorder="1" applyAlignment="1" applyProtection="1">
      <alignment horizontal="center" vertical="center" wrapText="1"/>
    </xf>
    <xf numFmtId="0" fontId="16" fillId="3" borderId="65" xfId="0" applyFont="1" applyFill="1" applyBorder="1" applyAlignment="1" applyProtection="1">
      <alignment horizontal="center" vertical="center" wrapText="1"/>
    </xf>
    <xf numFmtId="0" fontId="12" fillId="2" borderId="47" xfId="0" applyFont="1" applyFill="1" applyBorder="1" applyAlignment="1" applyProtection="1">
      <alignment horizontal="left" vertical="top" wrapText="1"/>
    </xf>
    <xf numFmtId="0" fontId="12" fillId="2" borderId="49" xfId="0" applyFont="1" applyFill="1" applyBorder="1" applyAlignment="1" applyProtection="1">
      <alignment horizontal="left" vertical="top" wrapText="1"/>
    </xf>
    <xf numFmtId="0" fontId="12" fillId="2" borderId="6" xfId="0" applyFont="1" applyFill="1" applyBorder="1" applyAlignment="1" applyProtection="1">
      <alignment horizontal="center" vertical="center" wrapText="1"/>
    </xf>
    <xf numFmtId="0" fontId="65" fillId="4" borderId="1" xfId="0" applyFont="1" applyFill="1" applyBorder="1" applyAlignment="1">
      <alignment horizontal="center"/>
    </xf>
    <xf numFmtId="0" fontId="29" fillId="0" borderId="39" xfId="0" applyFont="1" applyFill="1" applyBorder="1" applyAlignment="1">
      <alignment horizontal="center"/>
    </xf>
    <xf numFmtId="0" fontId="29" fillId="0" borderId="50" xfId="0" applyFont="1" applyFill="1" applyBorder="1" applyAlignment="1">
      <alignment horizontal="center"/>
    </xf>
    <xf numFmtId="0" fontId="62" fillId="3" borderId="23" xfId="0" applyFont="1" applyFill="1" applyBorder="1"/>
    <xf numFmtId="0" fontId="28" fillId="11" borderId="37" xfId="0" applyFont="1" applyFill="1" applyBorder="1" applyAlignment="1" applyProtection="1">
      <alignment horizontal="center" vertical="center"/>
    </xf>
    <xf numFmtId="0" fontId="28" fillId="11" borderId="46" xfId="0" applyFont="1" applyFill="1" applyBorder="1" applyAlignment="1" applyProtection="1">
      <alignment horizontal="center" vertical="center"/>
    </xf>
    <xf numFmtId="0" fontId="69" fillId="12" borderId="28" xfId="4" applyFont="1" applyFill="1" applyBorder="1" applyAlignment="1" applyProtection="1">
      <alignment horizontal="center"/>
      <protection locked="0"/>
    </xf>
    <xf numFmtId="0" fontId="69" fillId="12" borderId="49" xfId="4" applyFont="1" applyFill="1" applyBorder="1" applyAlignment="1" applyProtection="1">
      <alignment horizontal="center"/>
      <protection locked="0"/>
    </xf>
    <xf numFmtId="0" fontId="28" fillId="11" borderId="28" xfId="0" applyFont="1" applyFill="1" applyBorder="1" applyAlignment="1" applyProtection="1">
      <alignment horizontal="center" vertical="center" wrapText="1"/>
    </xf>
    <xf numFmtId="0" fontId="28" fillId="11" borderId="52" xfId="0" applyFont="1" applyFill="1" applyBorder="1" applyAlignment="1" applyProtection="1">
      <alignment horizontal="center" vertical="center" wrapText="1"/>
    </xf>
    <xf numFmtId="0" fontId="69" fillId="16" borderId="28" xfId="4" applyFont="1" applyFill="1" applyBorder="1" applyAlignment="1" applyProtection="1">
      <alignment horizontal="center" vertical="center"/>
      <protection locked="0"/>
    </xf>
    <xf numFmtId="0" fontId="69" fillId="16" borderId="52" xfId="4" applyFont="1" applyFill="1" applyBorder="1" applyAlignment="1" applyProtection="1">
      <alignment horizontal="center" vertical="center"/>
      <protection locked="0"/>
    </xf>
    <xf numFmtId="0" fontId="69" fillId="12" borderId="28" xfId="4" applyFont="1" applyFill="1" applyBorder="1" applyAlignment="1" applyProtection="1">
      <alignment horizontal="center" vertical="center"/>
      <protection locked="0"/>
    </xf>
    <xf numFmtId="0" fontId="69" fillId="12" borderId="52" xfId="4" applyFont="1" applyFill="1" applyBorder="1" applyAlignment="1" applyProtection="1">
      <alignment horizontal="center" vertical="center"/>
      <protection locked="0"/>
    </xf>
    <xf numFmtId="0" fontId="9" fillId="10" borderId="58" xfId="0" applyFont="1" applyFill="1" applyBorder="1" applyAlignment="1" applyProtection="1">
      <alignment horizontal="center" vertical="center"/>
    </xf>
    <xf numFmtId="0" fontId="9" fillId="10" borderId="59" xfId="0" applyFont="1" applyFill="1" applyBorder="1" applyAlignment="1" applyProtection="1">
      <alignment horizontal="center" vertical="center"/>
    </xf>
    <xf numFmtId="0" fontId="9" fillId="10" borderId="16" xfId="0" applyFont="1" applyFill="1" applyBorder="1" applyAlignment="1" applyProtection="1">
      <alignment horizontal="center" vertical="center"/>
    </xf>
    <xf numFmtId="0" fontId="69" fillId="12" borderId="36" xfId="4" applyFont="1" applyFill="1" applyBorder="1" applyAlignment="1" applyProtection="1">
      <alignment horizontal="center" vertical="center"/>
      <protection locked="0"/>
    </xf>
    <xf numFmtId="0" fontId="69" fillId="12" borderId="56" xfId="4" applyFont="1" applyFill="1" applyBorder="1" applyAlignment="1" applyProtection="1">
      <alignment horizontal="center" vertical="center"/>
      <protection locked="0"/>
    </xf>
    <xf numFmtId="0" fontId="69" fillId="12" borderId="34" xfId="4" applyFont="1" applyFill="1" applyBorder="1" applyAlignment="1" applyProtection="1">
      <alignment horizontal="center" vertical="center"/>
      <protection locked="0"/>
    </xf>
    <xf numFmtId="0" fontId="69" fillId="12" borderId="40" xfId="4" applyFont="1" applyFill="1" applyBorder="1" applyAlignment="1" applyProtection="1">
      <alignment horizontal="center" vertical="center"/>
      <protection locked="0"/>
    </xf>
    <xf numFmtId="10" fontId="69" fillId="12" borderId="28" xfId="4" applyNumberFormat="1" applyFont="1" applyFill="1" applyBorder="1" applyAlignment="1" applyProtection="1">
      <alignment horizontal="center" vertical="center"/>
      <protection locked="0"/>
    </xf>
    <xf numFmtId="10" fontId="69" fillId="12" borderId="52" xfId="4" applyNumberFormat="1" applyFont="1" applyFill="1" applyBorder="1" applyAlignment="1" applyProtection="1">
      <alignment horizontal="center" vertical="center"/>
      <protection locked="0"/>
    </xf>
    <xf numFmtId="0" fontId="9" fillId="3" borderId="18" xfId="0" applyFont="1" applyFill="1" applyBorder="1" applyAlignment="1">
      <alignment horizontal="center" vertical="center"/>
    </xf>
    <xf numFmtId="0" fontId="22" fillId="3" borderId="17" xfId="0" applyFont="1" applyFill="1" applyBorder="1" applyAlignment="1">
      <alignment horizontal="center" vertical="top" wrapText="1"/>
    </xf>
    <xf numFmtId="0" fontId="22" fillId="3" borderId="18" xfId="0" applyFont="1" applyFill="1" applyBorder="1" applyAlignment="1">
      <alignment horizontal="center" vertical="top" wrapText="1"/>
    </xf>
    <xf numFmtId="0" fontId="9" fillId="3" borderId="18" xfId="0" applyFont="1" applyFill="1" applyBorder="1" applyAlignment="1">
      <alignment horizontal="center" vertical="top" wrapText="1"/>
    </xf>
    <xf numFmtId="0" fontId="42" fillId="3" borderId="22" xfId="1" applyFont="1" applyFill="1" applyBorder="1" applyAlignment="1" applyProtection="1">
      <alignment horizontal="center" vertical="top" wrapText="1"/>
    </xf>
    <xf numFmtId="0" fontId="42" fillId="3" borderId="23" xfId="1" applyFont="1" applyFill="1" applyBorder="1" applyAlignment="1" applyProtection="1">
      <alignment horizontal="center" vertical="top" wrapText="1"/>
    </xf>
    <xf numFmtId="0" fontId="9" fillId="2" borderId="28"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36" xfId="0" applyFont="1" applyBorder="1" applyAlignment="1" applyProtection="1">
      <alignment horizontal="left" vertical="center" wrapText="1"/>
    </xf>
    <xf numFmtId="0" fontId="9" fillId="0" borderId="56" xfId="0" applyFont="1" applyBorder="1" applyAlignment="1" applyProtection="1">
      <alignment horizontal="left" vertical="center" wrapText="1"/>
    </xf>
    <xf numFmtId="0" fontId="69" fillId="8" borderId="28" xfId="4" applyFont="1" applyBorder="1" applyAlignment="1" applyProtection="1">
      <alignment horizontal="center" vertical="center"/>
      <protection locked="0"/>
    </xf>
    <xf numFmtId="0" fontId="69" fillId="8" borderId="52" xfId="4" applyFont="1" applyBorder="1" applyAlignment="1" applyProtection="1">
      <alignment horizontal="center" vertical="center"/>
      <protection locked="0"/>
    </xf>
    <xf numFmtId="0" fontId="28" fillId="11" borderId="45" xfId="0" applyFont="1" applyFill="1" applyBorder="1" applyAlignment="1" applyProtection="1">
      <alignment horizontal="center" vertical="center"/>
    </xf>
    <xf numFmtId="0" fontId="69" fillId="8" borderId="28" xfId="4" applyFont="1" applyBorder="1" applyAlignment="1" applyProtection="1">
      <alignment horizontal="left" vertical="center" wrapText="1"/>
      <protection locked="0"/>
    </xf>
    <xf numFmtId="0" fontId="69" fillId="8" borderId="48" xfId="4" applyFont="1" applyBorder="1" applyAlignment="1" applyProtection="1">
      <alignment horizontal="left" vertical="center" wrapText="1"/>
      <protection locked="0"/>
    </xf>
    <xf numFmtId="0" fontId="69" fillId="8" borderId="49" xfId="4" applyFont="1" applyBorder="1" applyAlignment="1" applyProtection="1">
      <alignment horizontal="left" vertical="center" wrapText="1"/>
      <protection locked="0"/>
    </xf>
    <xf numFmtId="0" fontId="69" fillId="12" borderId="28" xfId="4" applyFont="1" applyFill="1" applyBorder="1" applyAlignment="1" applyProtection="1">
      <alignment horizontal="left" vertical="center" wrapText="1"/>
      <protection locked="0"/>
    </xf>
    <xf numFmtId="0" fontId="69" fillId="12" borderId="48" xfId="4" applyFont="1" applyFill="1" applyBorder="1" applyAlignment="1" applyProtection="1">
      <alignment horizontal="left" vertical="center" wrapText="1"/>
      <protection locked="0"/>
    </xf>
    <xf numFmtId="0" fontId="69" fillId="12" borderId="49" xfId="4" applyFont="1" applyFill="1" applyBorder="1" applyAlignment="1" applyProtection="1">
      <alignment horizontal="left" vertical="center" wrapText="1"/>
      <protection locked="0"/>
    </xf>
    <xf numFmtId="0" fontId="9" fillId="0" borderId="53" xfId="0" applyFont="1" applyBorder="1" applyAlignment="1" applyProtection="1">
      <alignment horizontal="left" vertical="center" wrapText="1"/>
    </xf>
    <xf numFmtId="0" fontId="9" fillId="10" borderId="36" xfId="0" applyFont="1" applyFill="1" applyBorder="1" applyAlignment="1" applyProtection="1">
      <alignment horizontal="left" vertical="center" wrapText="1"/>
    </xf>
    <xf numFmtId="0" fontId="9" fillId="10" borderId="56" xfId="0" applyFont="1" applyFill="1" applyBorder="1" applyAlignment="1" applyProtection="1">
      <alignment horizontal="left" vertical="center" wrapText="1"/>
    </xf>
    <xf numFmtId="0" fontId="9" fillId="0" borderId="36" xfId="0" applyFont="1" applyBorder="1" applyAlignment="1" applyProtection="1">
      <alignment horizontal="center" vertical="center" wrapText="1"/>
    </xf>
    <xf numFmtId="0" fontId="9" fillId="0" borderId="53" xfId="0" applyFont="1" applyBorder="1" applyAlignment="1" applyProtection="1">
      <alignment horizontal="center" vertical="center" wrapText="1"/>
    </xf>
    <xf numFmtId="0" fontId="9" fillId="0" borderId="56" xfId="0" applyFont="1" applyBorder="1" applyAlignment="1" applyProtection="1">
      <alignment horizontal="center" vertical="center" wrapText="1"/>
    </xf>
    <xf numFmtId="0" fontId="9" fillId="0" borderId="51" xfId="0" applyFont="1" applyBorder="1" applyAlignment="1" applyProtection="1">
      <alignment horizontal="left" vertical="center" wrapText="1"/>
    </xf>
    <xf numFmtId="0" fontId="9" fillId="0" borderId="57" xfId="0" applyFont="1" applyBorder="1" applyAlignment="1" applyProtection="1">
      <alignment horizontal="left" vertical="center" wrapText="1"/>
    </xf>
    <xf numFmtId="0" fontId="9" fillId="10" borderId="39" xfId="0" applyFont="1" applyFill="1" applyBorder="1" applyAlignment="1" applyProtection="1">
      <alignment horizontal="center" vertical="center"/>
    </xf>
    <xf numFmtId="0" fontId="9" fillId="10" borderId="15" xfId="0" applyFont="1" applyFill="1" applyBorder="1" applyAlignment="1" applyProtection="1">
      <alignment horizontal="center" vertical="center"/>
    </xf>
    <xf numFmtId="0" fontId="9" fillId="10" borderId="29" xfId="0" applyFont="1" applyFill="1" applyBorder="1" applyAlignment="1" applyProtection="1">
      <alignment horizontal="center" vertical="center"/>
    </xf>
    <xf numFmtId="0" fontId="9" fillId="10" borderId="36" xfId="0" applyFont="1" applyFill="1" applyBorder="1" applyAlignment="1" applyProtection="1">
      <alignment horizontal="center" vertical="center" wrapText="1"/>
    </xf>
    <xf numFmtId="0" fontId="9" fillId="10" borderId="53" xfId="0" applyFont="1" applyFill="1" applyBorder="1" applyAlignment="1" applyProtection="1">
      <alignment horizontal="center" vertical="center" wrapText="1"/>
    </xf>
    <xf numFmtId="0" fontId="9" fillId="10" borderId="56" xfId="0" applyFont="1" applyFill="1" applyBorder="1" applyAlignment="1" applyProtection="1">
      <alignment horizontal="center" vertical="center" wrapText="1"/>
    </xf>
    <xf numFmtId="0" fontId="69" fillId="8" borderId="28" xfId="4" applyFont="1" applyBorder="1" applyAlignment="1" applyProtection="1">
      <alignment horizontal="center" vertical="center" wrapText="1"/>
      <protection locked="0"/>
    </xf>
    <xf numFmtId="0" fontId="69" fillId="8" borderId="49" xfId="4" applyFont="1" applyBorder="1" applyAlignment="1" applyProtection="1">
      <alignment horizontal="center" vertical="center" wrapText="1"/>
      <protection locked="0"/>
    </xf>
    <xf numFmtId="0" fontId="69" fillId="8" borderId="36" xfId="4" applyFont="1" applyBorder="1" applyAlignment="1" applyProtection="1">
      <alignment horizontal="center" vertical="center"/>
      <protection locked="0"/>
    </xf>
    <xf numFmtId="0" fontId="69" fillId="8" borderId="56" xfId="4" applyFont="1" applyBorder="1" applyAlignment="1" applyProtection="1">
      <alignment horizontal="center" vertical="center"/>
      <protection locked="0"/>
    </xf>
    <xf numFmtId="0" fontId="69" fillId="9" borderId="36" xfId="4" applyFont="1" applyFill="1" applyBorder="1" applyAlignment="1" applyProtection="1">
      <alignment horizontal="center" vertical="center"/>
      <protection locked="0"/>
    </xf>
    <xf numFmtId="0" fontId="69" fillId="9" borderId="56" xfId="4" applyFont="1" applyFill="1" applyBorder="1" applyAlignment="1" applyProtection="1">
      <alignment horizontal="center" vertical="center"/>
      <protection locked="0"/>
    </xf>
    <xf numFmtId="0" fontId="69" fillId="8" borderId="34" xfId="4" applyFont="1" applyBorder="1" applyAlignment="1" applyProtection="1">
      <alignment horizontal="center" vertical="center"/>
      <protection locked="0"/>
    </xf>
    <xf numFmtId="0" fontId="69" fillId="8" borderId="40" xfId="4" applyFont="1" applyBorder="1" applyAlignment="1" applyProtection="1">
      <alignment horizontal="center" vertical="center"/>
      <protection locked="0"/>
    </xf>
    <xf numFmtId="0" fontId="66" fillId="9" borderId="36" xfId="4" applyFont="1" applyFill="1" applyBorder="1" applyAlignment="1" applyProtection="1">
      <alignment horizontal="center" vertical="center"/>
      <protection locked="0"/>
    </xf>
    <xf numFmtId="0" fontId="66" fillId="9" borderId="56" xfId="4" applyFont="1" applyFill="1" applyBorder="1" applyAlignment="1" applyProtection="1">
      <alignment horizontal="center" vertical="center"/>
      <protection locked="0"/>
    </xf>
    <xf numFmtId="0" fontId="69" fillId="12" borderId="36" xfId="4" applyFont="1" applyFill="1" applyBorder="1" applyAlignment="1" applyProtection="1">
      <alignment horizontal="center" vertical="center" wrapText="1"/>
      <protection locked="0"/>
    </xf>
    <xf numFmtId="0" fontId="69" fillId="12" borderId="56" xfId="4"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xf>
    <xf numFmtId="0" fontId="28" fillId="11" borderId="55" xfId="0" applyFont="1" applyFill="1" applyBorder="1" applyAlignment="1" applyProtection="1">
      <alignment horizontal="center" vertical="center"/>
    </xf>
    <xf numFmtId="0" fontId="28" fillId="11" borderId="44" xfId="0" applyFont="1" applyFill="1" applyBorder="1" applyAlignment="1" applyProtection="1">
      <alignment horizontal="center" vertical="center"/>
    </xf>
    <xf numFmtId="0" fontId="69" fillId="8" borderId="52" xfId="4" applyFont="1" applyBorder="1" applyAlignment="1" applyProtection="1">
      <alignment horizontal="center" vertical="center" wrapText="1"/>
      <protection locked="0"/>
    </xf>
    <xf numFmtId="0" fontId="9" fillId="0" borderId="11" xfId="0" applyFont="1" applyBorder="1" applyAlignment="1" applyProtection="1">
      <alignment horizontal="left" vertical="center" wrapText="1"/>
    </xf>
    <xf numFmtId="0" fontId="69" fillId="12" borderId="28" xfId="4" applyFont="1" applyFill="1" applyBorder="1" applyAlignment="1" applyProtection="1">
      <alignment horizontal="center" vertical="center" wrapText="1"/>
      <protection locked="0"/>
    </xf>
    <xf numFmtId="0" fontId="69" fillId="12" borderId="49" xfId="4" applyFont="1" applyFill="1" applyBorder="1" applyAlignment="1" applyProtection="1">
      <alignment horizontal="center" vertical="center" wrapText="1"/>
      <protection locked="0"/>
    </xf>
    <xf numFmtId="0" fontId="28" fillId="11" borderId="49" xfId="0" applyFont="1" applyFill="1" applyBorder="1" applyAlignment="1" applyProtection="1">
      <alignment horizontal="center" vertical="center" wrapText="1"/>
    </xf>
    <xf numFmtId="0" fontId="9" fillId="10" borderId="53" xfId="0" applyFont="1" applyFill="1" applyBorder="1" applyAlignment="1" applyProtection="1">
      <alignment horizontal="left" vertical="center" wrapText="1"/>
    </xf>
    <xf numFmtId="0" fontId="69" fillId="8" borderId="28" xfId="4" applyFont="1" applyBorder="1" applyAlignment="1" applyProtection="1">
      <alignment horizontal="center"/>
      <protection locked="0"/>
    </xf>
    <xf numFmtId="0" fontId="69" fillId="8" borderId="49" xfId="4" applyFont="1" applyBorder="1" applyAlignment="1" applyProtection="1">
      <alignment horizontal="center"/>
      <protection locked="0"/>
    </xf>
    <xf numFmtId="0" fontId="69" fillId="12" borderId="48" xfId="4" applyFont="1" applyFill="1" applyBorder="1" applyAlignment="1" applyProtection="1">
      <alignment horizontal="center" vertical="center"/>
      <protection locked="0"/>
    </xf>
    <xf numFmtId="0" fontId="69" fillId="12" borderId="49" xfId="4" applyFont="1" applyFill="1" applyBorder="1" applyAlignment="1" applyProtection="1">
      <alignment horizontal="center" vertical="center"/>
      <protection locked="0"/>
    </xf>
    <xf numFmtId="0" fontId="69" fillId="12" borderId="47" xfId="4" applyFont="1" applyFill="1" applyBorder="1" applyAlignment="1" applyProtection="1">
      <alignment horizontal="center" vertical="center" wrapText="1"/>
      <protection locked="0"/>
    </xf>
    <xf numFmtId="0" fontId="69" fillId="12" borderId="52" xfId="4" applyFont="1" applyFill="1" applyBorder="1" applyAlignment="1" applyProtection="1">
      <alignment horizontal="center" vertical="center" wrapText="1"/>
      <protection locked="0"/>
    </xf>
    <xf numFmtId="0" fontId="28" fillId="11" borderId="48" xfId="0" applyFont="1" applyFill="1" applyBorder="1" applyAlignment="1" applyProtection="1">
      <alignment horizontal="center" vertical="center" wrapText="1"/>
    </xf>
    <xf numFmtId="0" fontId="69" fillId="8" borderId="48" xfId="4" applyFont="1" applyBorder="1" applyAlignment="1" applyProtection="1">
      <alignment horizontal="center" vertical="center"/>
      <protection locked="0"/>
    </xf>
    <xf numFmtId="10" fontId="69" fillId="8" borderId="28" xfId="4" applyNumberFormat="1" applyFont="1" applyBorder="1" applyAlignment="1" applyProtection="1">
      <alignment horizontal="center" vertical="center" wrapText="1"/>
      <protection locked="0"/>
    </xf>
    <xf numFmtId="10" fontId="69" fillId="8" borderId="52" xfId="4" applyNumberFormat="1" applyFont="1" applyBorder="1" applyAlignment="1" applyProtection="1">
      <alignment horizontal="center" vertical="center" wrapText="1"/>
      <protection locked="0"/>
    </xf>
    <xf numFmtId="0" fontId="69" fillId="8" borderId="48" xfId="4" applyFont="1" applyBorder="1" applyAlignment="1" applyProtection="1">
      <alignment horizontal="center" vertical="center" wrapText="1"/>
      <protection locked="0"/>
    </xf>
    <xf numFmtId="0" fontId="28" fillId="11" borderId="37" xfId="0" applyFont="1" applyFill="1" applyBorder="1" applyAlignment="1" applyProtection="1">
      <alignment horizontal="center" vertical="center" wrapText="1"/>
    </xf>
    <xf numFmtId="0" fontId="28" fillId="11" borderId="55" xfId="0" applyFont="1" applyFill="1" applyBorder="1" applyAlignment="1" applyProtection="1">
      <alignment horizontal="center" vertical="center" wrapText="1"/>
    </xf>
    <xf numFmtId="0" fontId="28" fillId="11" borderId="44" xfId="0" applyFont="1" applyFill="1" applyBorder="1" applyAlignment="1" applyProtection="1">
      <alignment horizontal="center" vertical="center" wrapText="1"/>
    </xf>
    <xf numFmtId="0" fontId="9" fillId="0" borderId="27" xfId="0" applyFont="1" applyBorder="1" applyAlignment="1" applyProtection="1">
      <alignment horizontal="left" vertical="center" wrapText="1"/>
    </xf>
    <xf numFmtId="0" fontId="69" fillId="12" borderId="36" xfId="4" applyFont="1" applyFill="1" applyBorder="1" applyAlignment="1" applyProtection="1">
      <alignment horizontal="center" wrapText="1"/>
      <protection locked="0"/>
    </xf>
    <xf numFmtId="0" fontId="69" fillId="12" borderId="56" xfId="4" applyFont="1" applyFill="1" applyBorder="1" applyAlignment="1" applyProtection="1">
      <alignment horizontal="center" wrapText="1"/>
      <protection locked="0"/>
    </xf>
    <xf numFmtId="0" fontId="69" fillId="12" borderId="34" xfId="4" applyFont="1" applyFill="1" applyBorder="1" applyAlignment="1" applyProtection="1">
      <alignment horizontal="center" wrapText="1"/>
      <protection locked="0"/>
    </xf>
    <xf numFmtId="0" fontId="69" fillId="12" borderId="40" xfId="4" applyFont="1" applyFill="1" applyBorder="1" applyAlignment="1" applyProtection="1">
      <alignment horizontal="center" wrapText="1"/>
      <protection locked="0"/>
    </xf>
    <xf numFmtId="0" fontId="69" fillId="8" borderId="36" xfId="4" applyFont="1" applyBorder="1" applyAlignment="1" applyProtection="1">
      <alignment horizontal="center" wrapText="1"/>
      <protection locked="0"/>
    </xf>
    <xf numFmtId="0" fontId="69" fillId="8" borderId="56" xfId="4" applyFont="1" applyBorder="1" applyAlignment="1" applyProtection="1">
      <alignment horizontal="center" wrapText="1"/>
      <protection locked="0"/>
    </xf>
    <xf numFmtId="0" fontId="69" fillId="8" borderId="34" xfId="4" applyFont="1" applyBorder="1" applyAlignment="1" applyProtection="1">
      <alignment horizontal="center" wrapText="1"/>
      <protection locked="0"/>
    </xf>
    <xf numFmtId="0" fontId="69" fillId="8" borderId="40" xfId="4" applyFont="1" applyBorder="1" applyAlignment="1" applyProtection="1">
      <alignment horizontal="center" wrapText="1"/>
      <protection locked="0"/>
    </xf>
    <xf numFmtId="0" fontId="66" fillId="12" borderId="36" xfId="4" applyFont="1" applyFill="1" applyBorder="1" applyAlignment="1" applyProtection="1">
      <alignment horizontal="center" vertical="center"/>
      <protection locked="0"/>
    </xf>
    <xf numFmtId="0" fontId="66" fillId="12" borderId="56" xfId="4" applyFont="1" applyFill="1" applyBorder="1" applyAlignment="1" applyProtection="1">
      <alignment horizontal="center" vertical="center"/>
      <protection locked="0"/>
    </xf>
    <xf numFmtId="0" fontId="28" fillId="0" borderId="0" xfId="0" applyFont="1" applyAlignment="1" applyProtection="1">
      <alignment horizontal="left"/>
    </xf>
    <xf numFmtId="0" fontId="9" fillId="10" borderId="51" xfId="0" applyFont="1" applyFill="1" applyBorder="1" applyAlignment="1" applyProtection="1">
      <alignment horizontal="left" vertical="center" wrapText="1"/>
    </xf>
    <xf numFmtId="0" fontId="9" fillId="10" borderId="54" xfId="0" applyFont="1" applyFill="1" applyBorder="1" applyAlignment="1" applyProtection="1">
      <alignment horizontal="left" vertical="center" wrapText="1"/>
    </xf>
    <xf numFmtId="0" fontId="9" fillId="10" borderId="57" xfId="0" applyFont="1" applyFill="1" applyBorder="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Normal 2" xfId="6" xr:uid="{00000000-0005-0000-0000-000006000000}"/>
  </cellStyles>
  <dxfs count="0"/>
  <tableStyles count="0" defaultTableStyle="TableStyleMedium9" defaultPivotStyle="PivotStyleLight16"/>
  <colors>
    <mruColors>
      <color rgb="FFFDE8D7"/>
      <color rgb="FF76644A"/>
      <color rgb="FFFDE4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0025"/>
          <a:ext cx="7905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5</xdr:row>
      <xdr:rowOff>280646</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vis.prasad@nic.in" TargetMode="External"/><Relationship Id="rId7" Type="http://schemas.openxmlformats.org/officeDocument/2006/relationships/drawing" Target="../drawings/drawing1.xml"/><Relationship Id="rId2" Type="http://schemas.openxmlformats.org/officeDocument/2006/relationships/hyperlink" Target="mailto:drcscsujit@gmail.com" TargetMode="External"/><Relationship Id="rId1" Type="http://schemas.openxmlformats.org/officeDocument/2006/relationships/hyperlink" Target="http://www.drcsc.org/CCA/3/index.html" TargetMode="External"/><Relationship Id="rId6" Type="http://schemas.openxmlformats.org/officeDocument/2006/relationships/printerSettings" Target="../printerSettings/printerSettings1.bin"/><Relationship Id="rId5" Type="http://schemas.openxmlformats.org/officeDocument/2006/relationships/hyperlink" Target="mailto:tsr.gain@nabard.org" TargetMode="External"/><Relationship Id="rId4" Type="http://schemas.openxmlformats.org/officeDocument/2006/relationships/hyperlink" Target="mailto:drcscnew@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limate.change@nabard.org" TargetMode="External"/><Relationship Id="rId1" Type="http://schemas.openxmlformats.org/officeDocument/2006/relationships/hyperlink" Target="mailto:drcscsujit@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7"/>
  <sheetViews>
    <sheetView topLeftCell="B49" workbookViewId="0">
      <selection activeCell="D62" sqref="D62"/>
    </sheetView>
  </sheetViews>
  <sheetFormatPr defaultColWidth="102.26953125" defaultRowHeight="14.5" x14ac:dyDescent="0.35"/>
  <cols>
    <col min="1" max="1" width="2.54296875" style="12" customWidth="1"/>
    <col min="2" max="2" width="10.81640625" style="11" customWidth="1"/>
    <col min="3" max="3" width="31" style="11" customWidth="1"/>
    <col min="4" max="4" width="88.54296875" style="12" customWidth="1"/>
    <col min="5" max="5" width="31.36328125" style="12" customWidth="1"/>
    <col min="6" max="6" width="9.1796875" style="12" customWidth="1"/>
    <col min="7" max="7" width="12.26953125" style="13" customWidth="1"/>
    <col min="8" max="8" width="15.36328125" style="13" hidden="1" customWidth="1"/>
    <col min="9" max="13" width="0" style="13" hidden="1" customWidth="1"/>
    <col min="14" max="15" width="9.1796875" style="13" hidden="1" customWidth="1"/>
    <col min="16" max="16" width="0" style="13" hidden="1" customWidth="1"/>
    <col min="17" max="251" width="9.1796875" style="12" customWidth="1"/>
    <col min="252" max="252" width="2.7265625" style="12" customWidth="1"/>
    <col min="253" max="254" width="9.1796875" style="12" customWidth="1"/>
    <col min="255" max="255" width="17.26953125" style="12" customWidth="1"/>
    <col min="256" max="16384" width="102.26953125" style="12"/>
  </cols>
  <sheetData>
    <row r="1" spans="2:16" ht="14.65" thickBot="1" x14ac:dyDescent="0.4"/>
    <row r="2" spans="2:16" ht="14.65" thickBot="1" x14ac:dyDescent="0.4">
      <c r="B2" s="14"/>
      <c r="C2" s="15"/>
      <c r="D2" s="16"/>
      <c r="E2" s="17"/>
    </row>
    <row r="3" spans="2:16" ht="18" thickBot="1" x14ac:dyDescent="0.45">
      <c r="B3" s="18"/>
      <c r="C3" s="19"/>
      <c r="D3" s="20" t="s">
        <v>247</v>
      </c>
      <c r="E3" s="21"/>
    </row>
    <row r="4" spans="2:16" ht="14.65" thickBot="1" x14ac:dyDescent="0.4">
      <c r="B4" s="18"/>
      <c r="C4" s="19"/>
      <c r="D4" s="22"/>
      <c r="E4" s="21"/>
    </row>
    <row r="5" spans="2:16" ht="14.65" thickBot="1" x14ac:dyDescent="0.4">
      <c r="B5" s="18"/>
      <c r="C5" s="23" t="s">
        <v>287</v>
      </c>
      <c r="D5" s="24" t="s">
        <v>915</v>
      </c>
      <c r="E5" s="21"/>
    </row>
    <row r="6" spans="2:16" s="28" customFormat="1" ht="14.65" thickBot="1" x14ac:dyDescent="0.4">
      <c r="B6" s="25"/>
      <c r="C6" s="26"/>
      <c r="D6" s="7"/>
      <c r="E6" s="27"/>
      <c r="G6" s="13"/>
      <c r="H6" s="13"/>
      <c r="I6" s="13"/>
      <c r="J6" s="13"/>
      <c r="K6" s="13"/>
      <c r="L6" s="13"/>
      <c r="M6" s="13"/>
      <c r="N6" s="13"/>
      <c r="O6" s="13"/>
      <c r="P6" s="13"/>
    </row>
    <row r="7" spans="2:16" s="28" customFormat="1" ht="30.75" customHeight="1" thickBot="1" x14ac:dyDescent="0.4">
      <c r="B7" s="25"/>
      <c r="C7" s="29" t="s">
        <v>214</v>
      </c>
      <c r="D7" s="30" t="s">
        <v>959</v>
      </c>
      <c r="E7" s="27"/>
      <c r="G7" s="13"/>
      <c r="H7" s="13"/>
      <c r="I7" s="13"/>
      <c r="J7" s="13"/>
      <c r="K7" s="13"/>
      <c r="L7" s="13"/>
      <c r="M7" s="13"/>
      <c r="N7" s="13"/>
      <c r="O7" s="13"/>
      <c r="P7" s="13"/>
    </row>
    <row r="8" spans="2:16" s="28" customFormat="1" ht="14.15" hidden="1" x14ac:dyDescent="0.35">
      <c r="B8" s="18"/>
      <c r="C8" s="19"/>
      <c r="D8" s="22"/>
      <c r="E8" s="27"/>
      <c r="G8" s="13"/>
      <c r="H8" s="13"/>
      <c r="I8" s="13"/>
      <c r="J8" s="13"/>
      <c r="K8" s="13"/>
      <c r="L8" s="13"/>
      <c r="M8" s="13"/>
      <c r="N8" s="13"/>
      <c r="O8" s="13"/>
      <c r="P8" s="13"/>
    </row>
    <row r="9" spans="2:16" s="28" customFormat="1" ht="14.15" hidden="1" x14ac:dyDescent="0.35">
      <c r="B9" s="18"/>
      <c r="C9" s="19"/>
      <c r="D9" s="22"/>
      <c r="E9" s="27"/>
      <c r="G9" s="13"/>
      <c r="H9" s="13"/>
      <c r="I9" s="13"/>
      <c r="J9" s="13"/>
      <c r="K9" s="13"/>
      <c r="L9" s="13"/>
      <c r="M9" s="13"/>
      <c r="N9" s="13"/>
      <c r="O9" s="13"/>
      <c r="P9" s="13"/>
    </row>
    <row r="10" spans="2:16" s="28" customFormat="1" ht="14.15" hidden="1" x14ac:dyDescent="0.35">
      <c r="B10" s="18"/>
      <c r="C10" s="19"/>
      <c r="D10" s="22"/>
      <c r="E10" s="27"/>
      <c r="G10" s="13"/>
      <c r="H10" s="13"/>
      <c r="I10" s="13"/>
      <c r="J10" s="13"/>
      <c r="K10" s="13"/>
      <c r="L10" s="13"/>
      <c r="M10" s="13"/>
      <c r="N10" s="13"/>
      <c r="O10" s="13"/>
      <c r="P10" s="13"/>
    </row>
    <row r="11" spans="2:16" s="28" customFormat="1" ht="14.15" hidden="1" x14ac:dyDescent="0.35">
      <c r="B11" s="18"/>
      <c r="C11" s="19"/>
      <c r="D11" s="22"/>
      <c r="E11" s="27"/>
      <c r="G11" s="13"/>
      <c r="H11" s="13"/>
      <c r="I11" s="13"/>
      <c r="J11" s="13"/>
      <c r="K11" s="13"/>
      <c r="L11" s="13"/>
      <c r="M11" s="13"/>
      <c r="N11" s="13"/>
      <c r="O11" s="13"/>
      <c r="P11" s="13"/>
    </row>
    <row r="12" spans="2:16" s="28" customFormat="1" ht="14.65" thickBot="1" x14ac:dyDescent="0.4">
      <c r="B12" s="25"/>
      <c r="C12" s="26"/>
      <c r="D12" s="7"/>
      <c r="E12" s="27"/>
      <c r="G12" s="13"/>
      <c r="H12" s="13"/>
      <c r="I12" s="13"/>
      <c r="J12" s="13"/>
      <c r="K12" s="13"/>
      <c r="L12" s="13"/>
      <c r="M12" s="13"/>
      <c r="N12" s="13"/>
      <c r="O12" s="13"/>
      <c r="P12" s="13"/>
    </row>
    <row r="13" spans="2:16" s="28" customFormat="1" ht="45.75" customHeight="1" thickBot="1" x14ac:dyDescent="0.4">
      <c r="B13" s="25"/>
      <c r="C13" s="31" t="s">
        <v>0</v>
      </c>
      <c r="D13" s="30" t="s">
        <v>656</v>
      </c>
      <c r="E13" s="27"/>
      <c r="G13" s="13"/>
      <c r="H13" s="13"/>
      <c r="I13" s="13"/>
      <c r="J13" s="13"/>
      <c r="K13" s="13"/>
      <c r="L13" s="13"/>
      <c r="M13" s="13"/>
      <c r="N13" s="13"/>
      <c r="O13" s="13"/>
      <c r="P13" s="13"/>
    </row>
    <row r="14" spans="2:16" s="28" customFormat="1" ht="14.65" thickBot="1" x14ac:dyDescent="0.4">
      <c r="B14" s="25"/>
      <c r="C14" s="26"/>
      <c r="D14" s="7"/>
      <c r="E14" s="27"/>
      <c r="G14" s="13"/>
      <c r="H14" s="13" t="s">
        <v>1</v>
      </c>
      <c r="I14" s="13" t="s">
        <v>2</v>
      </c>
      <c r="J14" s="13"/>
      <c r="K14" s="13" t="s">
        <v>3</v>
      </c>
      <c r="L14" s="13" t="s">
        <v>4</v>
      </c>
      <c r="M14" s="13" t="s">
        <v>5</v>
      </c>
      <c r="N14" s="13" t="s">
        <v>6</v>
      </c>
      <c r="O14" s="13" t="s">
        <v>7</v>
      </c>
      <c r="P14" s="13" t="s">
        <v>8</v>
      </c>
    </row>
    <row r="15" spans="2:16" s="28" customFormat="1" ht="14.15" x14ac:dyDescent="0.35">
      <c r="B15" s="25"/>
      <c r="C15" s="32" t="s">
        <v>204</v>
      </c>
      <c r="D15" s="33" t="s">
        <v>657</v>
      </c>
      <c r="E15" s="27"/>
      <c r="G15" s="13"/>
      <c r="H15" s="34" t="s">
        <v>9</v>
      </c>
      <c r="I15" s="13" t="s">
        <v>10</v>
      </c>
      <c r="J15" s="13" t="s">
        <v>11</v>
      </c>
      <c r="K15" s="13" t="s">
        <v>12</v>
      </c>
      <c r="L15" s="13">
        <v>1</v>
      </c>
      <c r="M15" s="13">
        <v>1</v>
      </c>
      <c r="N15" s="13" t="s">
        <v>13</v>
      </c>
      <c r="O15" s="13" t="s">
        <v>14</v>
      </c>
      <c r="P15" s="13" t="s">
        <v>15</v>
      </c>
    </row>
    <row r="16" spans="2:16" s="28" customFormat="1" ht="21" customHeight="1" x14ac:dyDescent="0.35">
      <c r="B16" s="612" t="s">
        <v>275</v>
      </c>
      <c r="C16" s="613"/>
      <c r="D16" s="35" t="s">
        <v>658</v>
      </c>
      <c r="E16" s="27"/>
      <c r="G16" s="13"/>
      <c r="H16" s="34" t="s">
        <v>16</v>
      </c>
      <c r="I16" s="13" t="s">
        <v>17</v>
      </c>
      <c r="J16" s="13" t="s">
        <v>18</v>
      </c>
      <c r="K16" s="13" t="s">
        <v>19</v>
      </c>
      <c r="L16" s="13">
        <v>2</v>
      </c>
      <c r="M16" s="13">
        <v>2</v>
      </c>
      <c r="N16" s="13" t="s">
        <v>20</v>
      </c>
      <c r="O16" s="13" t="s">
        <v>21</v>
      </c>
      <c r="P16" s="13" t="s">
        <v>22</v>
      </c>
    </row>
    <row r="17" spans="2:16" s="28" customFormat="1" ht="14.15" x14ac:dyDescent="0.35">
      <c r="B17" s="25"/>
      <c r="C17" s="32" t="s">
        <v>210</v>
      </c>
      <c r="D17" s="35" t="s">
        <v>594</v>
      </c>
      <c r="E17" s="27"/>
      <c r="G17" s="13"/>
      <c r="H17" s="34" t="s">
        <v>23</v>
      </c>
      <c r="I17" s="13" t="s">
        <v>24</v>
      </c>
      <c r="J17" s="13"/>
      <c r="K17" s="13" t="s">
        <v>25</v>
      </c>
      <c r="L17" s="13">
        <v>3</v>
      </c>
      <c r="M17" s="13">
        <v>3</v>
      </c>
      <c r="N17" s="13" t="s">
        <v>26</v>
      </c>
      <c r="O17" s="13" t="s">
        <v>27</v>
      </c>
      <c r="P17" s="13" t="s">
        <v>28</v>
      </c>
    </row>
    <row r="18" spans="2:16" s="28" customFormat="1" ht="14.65" thickBot="1" x14ac:dyDescent="0.4">
      <c r="B18" s="36"/>
      <c r="C18" s="31" t="s">
        <v>205</v>
      </c>
      <c r="D18" s="37" t="s">
        <v>88</v>
      </c>
      <c r="E18" s="27"/>
      <c r="G18" s="13"/>
      <c r="H18" s="34" t="s">
        <v>29</v>
      </c>
      <c r="I18" s="13"/>
      <c r="J18" s="13"/>
      <c r="K18" s="13" t="s">
        <v>30</v>
      </c>
      <c r="L18" s="13">
        <v>5</v>
      </c>
      <c r="M18" s="13">
        <v>5</v>
      </c>
      <c r="N18" s="13" t="s">
        <v>31</v>
      </c>
      <c r="O18" s="13" t="s">
        <v>32</v>
      </c>
      <c r="P18" s="13" t="s">
        <v>33</v>
      </c>
    </row>
    <row r="19" spans="2:16" s="28" customFormat="1" ht="117" customHeight="1" thickBot="1" x14ac:dyDescent="0.4">
      <c r="B19" s="615" t="s">
        <v>206</v>
      </c>
      <c r="C19" s="616"/>
      <c r="D19" s="38" t="s">
        <v>659</v>
      </c>
      <c r="E19" s="27"/>
      <c r="G19" s="13"/>
      <c r="H19" s="34" t="s">
        <v>34</v>
      </c>
      <c r="I19" s="13"/>
      <c r="J19" s="13"/>
      <c r="K19" s="13" t="s">
        <v>35</v>
      </c>
      <c r="L19" s="13"/>
      <c r="M19" s="13"/>
      <c r="N19" s="13"/>
      <c r="O19" s="13" t="s">
        <v>36</v>
      </c>
      <c r="P19" s="13" t="s">
        <v>37</v>
      </c>
    </row>
    <row r="20" spans="2:16" s="28" customFormat="1" ht="24.75" customHeight="1" x14ac:dyDescent="0.35">
      <c r="B20" s="25"/>
      <c r="C20" s="31"/>
      <c r="D20" s="7"/>
      <c r="E20" s="21"/>
      <c r="F20" s="34"/>
      <c r="G20" s="13"/>
      <c r="H20" s="13"/>
      <c r="J20" s="13"/>
      <c r="K20" s="13"/>
      <c r="L20" s="13"/>
      <c r="M20" s="13" t="s">
        <v>38</v>
      </c>
      <c r="N20" s="13" t="s">
        <v>39</v>
      </c>
    </row>
    <row r="21" spans="2:16" s="28" customFormat="1" ht="14.15" x14ac:dyDescent="0.35">
      <c r="B21" s="25"/>
      <c r="C21" s="23" t="s">
        <v>209</v>
      </c>
      <c r="D21" s="7"/>
      <c r="E21" s="21"/>
      <c r="F21" s="34"/>
      <c r="G21" s="13"/>
      <c r="H21" s="13"/>
      <c r="J21" s="13"/>
      <c r="K21" s="13"/>
      <c r="L21" s="13"/>
      <c r="M21" s="13" t="s">
        <v>40</v>
      </c>
      <c r="N21" s="13" t="s">
        <v>41</v>
      </c>
    </row>
    <row r="22" spans="2:16" s="28" customFormat="1" ht="14.65" thickBot="1" x14ac:dyDescent="0.4">
      <c r="B22" s="25"/>
      <c r="C22" s="39" t="s">
        <v>212</v>
      </c>
      <c r="D22" s="7"/>
      <c r="E22" s="27"/>
      <c r="G22" s="13"/>
      <c r="H22" s="34" t="s">
        <v>42</v>
      </c>
      <c r="I22" s="13"/>
      <c r="J22" s="13"/>
      <c r="L22" s="13"/>
      <c r="M22" s="13"/>
      <c r="N22" s="13"/>
      <c r="O22" s="13" t="s">
        <v>43</v>
      </c>
      <c r="P22" s="13" t="s">
        <v>44</v>
      </c>
    </row>
    <row r="23" spans="2:16" s="28" customFormat="1" x14ac:dyDescent="0.35">
      <c r="B23" s="612" t="s">
        <v>211</v>
      </c>
      <c r="C23" s="613"/>
      <c r="D23" s="610">
        <v>41922</v>
      </c>
      <c r="E23" s="27"/>
      <c r="G23" s="13"/>
      <c r="H23" s="34"/>
      <c r="I23" s="13"/>
      <c r="J23" s="13"/>
      <c r="L23" s="13"/>
      <c r="M23" s="13"/>
      <c r="N23" s="13"/>
      <c r="O23" s="13"/>
      <c r="P23" s="13"/>
    </row>
    <row r="24" spans="2:16" s="28" customFormat="1" ht="4.5" customHeight="1" x14ac:dyDescent="0.35">
      <c r="B24" s="612"/>
      <c r="C24" s="613"/>
      <c r="D24" s="611"/>
      <c r="E24" s="27"/>
      <c r="G24" s="13"/>
      <c r="H24" s="34"/>
      <c r="I24" s="13"/>
      <c r="J24" s="13"/>
      <c r="L24" s="13"/>
      <c r="M24" s="13"/>
      <c r="N24" s="13"/>
      <c r="O24" s="13"/>
      <c r="P24" s="13"/>
    </row>
    <row r="25" spans="2:16" s="28" customFormat="1" ht="26.25" customHeight="1" x14ac:dyDescent="0.35">
      <c r="B25" s="612" t="s">
        <v>281</v>
      </c>
      <c r="C25" s="614"/>
      <c r="D25" s="40">
        <v>42062</v>
      </c>
      <c r="E25" s="27"/>
      <c r="F25" s="13"/>
      <c r="G25" s="34"/>
      <c r="H25" s="13"/>
      <c r="I25" s="13"/>
      <c r="K25" s="13"/>
      <c r="L25" s="13"/>
      <c r="M25" s="13"/>
      <c r="N25" s="13" t="s">
        <v>45</v>
      </c>
      <c r="O25" s="13" t="s">
        <v>46</v>
      </c>
    </row>
    <row r="26" spans="2:16" s="28" customFormat="1" ht="15.75" customHeight="1" x14ac:dyDescent="0.35">
      <c r="B26" s="612" t="s">
        <v>213</v>
      </c>
      <c r="C26" s="614"/>
      <c r="D26" s="40">
        <v>42152</v>
      </c>
      <c r="E26" s="27"/>
      <c r="F26" s="13"/>
      <c r="G26" s="41"/>
      <c r="H26" s="13"/>
      <c r="I26" s="13"/>
      <c r="K26" s="13"/>
      <c r="L26" s="13"/>
      <c r="M26" s="13"/>
      <c r="N26" s="13" t="s">
        <v>47</v>
      </c>
      <c r="O26" s="13" t="s">
        <v>48</v>
      </c>
    </row>
    <row r="27" spans="2:16" s="28" customFormat="1" ht="30" customHeight="1" x14ac:dyDescent="0.35">
      <c r="B27" s="612" t="s">
        <v>280</v>
      </c>
      <c r="C27" s="613"/>
      <c r="D27" s="42">
        <v>42614</v>
      </c>
      <c r="E27" s="43" t="s">
        <v>960</v>
      </c>
      <c r="F27" s="13"/>
      <c r="G27" s="34"/>
      <c r="H27" s="13"/>
      <c r="I27" s="13"/>
      <c r="J27" s="13"/>
      <c r="K27" s="13"/>
      <c r="L27" s="13"/>
      <c r="M27" s="13"/>
      <c r="N27" s="13"/>
      <c r="O27" s="13"/>
    </row>
    <row r="28" spans="2:16" s="28" customFormat="1" ht="28.75" thickBot="1" x14ac:dyDescent="0.4">
      <c r="B28" s="25"/>
      <c r="C28" s="32" t="s">
        <v>283</v>
      </c>
      <c r="D28" s="44">
        <v>43344</v>
      </c>
      <c r="E28" s="45" t="s">
        <v>960</v>
      </c>
      <c r="F28" s="13"/>
      <c r="G28" s="34"/>
      <c r="H28" s="13"/>
      <c r="I28" s="13"/>
      <c r="J28" s="13"/>
      <c r="K28" s="13"/>
      <c r="L28" s="13"/>
      <c r="M28" s="13"/>
      <c r="N28" s="13"/>
      <c r="O28" s="13"/>
    </row>
    <row r="29" spans="2:16" s="28" customFormat="1" ht="14.15" x14ac:dyDescent="0.35">
      <c r="B29" s="25"/>
      <c r="C29" s="26"/>
      <c r="D29" s="46"/>
      <c r="E29" s="27"/>
      <c r="F29" s="13"/>
      <c r="G29" s="34"/>
      <c r="H29" s="13"/>
      <c r="I29" s="13"/>
      <c r="J29" s="13"/>
      <c r="K29" s="13"/>
      <c r="L29" s="13"/>
      <c r="M29" s="13"/>
      <c r="N29" s="13"/>
      <c r="O29" s="13"/>
    </row>
    <row r="30" spans="2:16" s="28" customFormat="1" ht="14.65" thickBot="1" x14ac:dyDescent="0.4">
      <c r="B30" s="25"/>
      <c r="C30" s="26"/>
      <c r="D30" s="47" t="s">
        <v>49</v>
      </c>
      <c r="E30" s="27"/>
      <c r="G30" s="13"/>
      <c r="H30" s="34" t="s">
        <v>50</v>
      </c>
      <c r="I30" s="13"/>
      <c r="J30" s="13"/>
      <c r="K30" s="13"/>
      <c r="L30" s="13"/>
      <c r="M30" s="13"/>
      <c r="N30" s="13"/>
      <c r="O30" s="13"/>
      <c r="P30" s="13"/>
    </row>
    <row r="31" spans="2:16" s="28" customFormat="1" ht="80.150000000000006" customHeight="1" thickBot="1" x14ac:dyDescent="0.4">
      <c r="B31" s="25"/>
      <c r="C31" s="26"/>
      <c r="D31" s="48" t="s">
        <v>660</v>
      </c>
      <c r="E31" s="27"/>
      <c r="F31" s="49"/>
      <c r="G31" s="13"/>
      <c r="H31" s="34" t="s">
        <v>51</v>
      </c>
      <c r="I31" s="13"/>
      <c r="J31" s="13"/>
      <c r="K31" s="13"/>
      <c r="L31" s="13"/>
      <c r="M31" s="13"/>
      <c r="N31" s="13"/>
      <c r="O31" s="13"/>
      <c r="P31" s="13"/>
    </row>
    <row r="32" spans="2:16" s="28" customFormat="1" ht="32.25" customHeight="1" thickBot="1" x14ac:dyDescent="0.4">
      <c r="B32" s="612" t="s">
        <v>52</v>
      </c>
      <c r="C32" s="614"/>
      <c r="D32" s="7"/>
      <c r="E32" s="27"/>
      <c r="G32" s="13"/>
      <c r="H32" s="34" t="s">
        <v>53</v>
      </c>
      <c r="I32" s="13"/>
      <c r="J32" s="13"/>
      <c r="K32" s="13"/>
      <c r="L32" s="13"/>
      <c r="M32" s="13"/>
      <c r="N32" s="13"/>
      <c r="O32" s="13"/>
      <c r="P32" s="13"/>
    </row>
    <row r="33" spans="1:16" s="28" customFormat="1" ht="17.25" customHeight="1" thickBot="1" x14ac:dyDescent="0.4">
      <c r="B33" s="25"/>
      <c r="C33" s="26"/>
      <c r="D33" s="50" t="s">
        <v>661</v>
      </c>
      <c r="E33" s="27"/>
      <c r="G33" s="13"/>
      <c r="H33" s="34" t="s">
        <v>54</v>
      </c>
      <c r="I33" s="13"/>
      <c r="J33" s="13"/>
      <c r="K33" s="13"/>
      <c r="L33" s="13"/>
      <c r="M33" s="13"/>
      <c r="N33" s="13"/>
      <c r="O33" s="13"/>
      <c r="P33" s="13"/>
    </row>
    <row r="34" spans="1:16" s="28" customFormat="1" ht="14.15" x14ac:dyDescent="0.35">
      <c r="B34" s="25"/>
      <c r="C34" s="26"/>
      <c r="D34" s="7"/>
      <c r="E34" s="27"/>
      <c r="F34" s="49"/>
      <c r="G34" s="13"/>
      <c r="H34" s="34" t="s">
        <v>55</v>
      </c>
      <c r="I34" s="13"/>
      <c r="J34" s="13"/>
      <c r="K34" s="13"/>
      <c r="L34" s="13"/>
      <c r="M34" s="13"/>
      <c r="N34" s="13"/>
      <c r="O34" s="13"/>
      <c r="P34" s="13"/>
    </row>
    <row r="35" spans="1:16" s="28" customFormat="1" ht="14.15" x14ac:dyDescent="0.35">
      <c r="B35" s="25"/>
      <c r="C35" s="51" t="s">
        <v>56</v>
      </c>
      <c r="D35" s="7"/>
      <c r="E35" s="27"/>
      <c r="G35" s="13"/>
      <c r="H35" s="34" t="s">
        <v>57</v>
      </c>
      <c r="I35" s="13"/>
      <c r="J35" s="13"/>
      <c r="K35" s="13"/>
      <c r="L35" s="13"/>
      <c r="M35" s="13"/>
      <c r="N35" s="13"/>
      <c r="O35" s="13"/>
      <c r="P35" s="13"/>
    </row>
    <row r="36" spans="1:16" s="28" customFormat="1" ht="31.5" customHeight="1" thickBot="1" x14ac:dyDescent="0.4">
      <c r="B36" s="612" t="s">
        <v>58</v>
      </c>
      <c r="C36" s="614"/>
      <c r="D36" s="7"/>
      <c r="E36" s="27"/>
      <c r="G36" s="13"/>
      <c r="H36" s="34" t="s">
        <v>59</v>
      </c>
      <c r="I36" s="13"/>
      <c r="J36" s="13"/>
      <c r="K36" s="13"/>
      <c r="L36" s="13"/>
      <c r="M36" s="13"/>
      <c r="N36" s="13"/>
      <c r="O36" s="13"/>
      <c r="P36" s="13"/>
    </row>
    <row r="37" spans="1:16" s="28" customFormat="1" ht="28.25" x14ac:dyDescent="0.35">
      <c r="B37" s="25"/>
      <c r="C37" s="26" t="s">
        <v>60</v>
      </c>
      <c r="D37" s="4" t="s">
        <v>950</v>
      </c>
      <c r="E37" s="27"/>
      <c r="G37" s="13"/>
      <c r="H37" s="34" t="s">
        <v>61</v>
      </c>
      <c r="I37" s="13"/>
      <c r="J37" s="13"/>
      <c r="K37" s="13"/>
      <c r="L37" s="13"/>
      <c r="M37" s="13"/>
      <c r="N37" s="13"/>
      <c r="O37" s="13"/>
      <c r="P37" s="13"/>
    </row>
    <row r="38" spans="1:16" s="28" customFormat="1" ht="14.15" x14ac:dyDescent="0.35">
      <c r="B38" s="25"/>
      <c r="C38" s="26" t="s">
        <v>62</v>
      </c>
      <c r="D38" s="5" t="s">
        <v>662</v>
      </c>
      <c r="E38" s="27"/>
      <c r="G38" s="13"/>
      <c r="H38" s="34" t="s">
        <v>63</v>
      </c>
      <c r="I38" s="13"/>
      <c r="J38" s="13"/>
      <c r="K38" s="13"/>
      <c r="L38" s="13"/>
      <c r="M38" s="13"/>
      <c r="N38" s="13"/>
      <c r="O38" s="13"/>
      <c r="P38" s="13"/>
    </row>
    <row r="39" spans="1:16" s="28" customFormat="1" ht="14.65" thickBot="1" x14ac:dyDescent="0.4">
      <c r="B39" s="25"/>
      <c r="C39" s="26" t="s">
        <v>64</v>
      </c>
      <c r="D39" s="6">
        <v>42971</v>
      </c>
      <c r="E39" s="27"/>
      <c r="G39" s="13"/>
      <c r="H39" s="34" t="s">
        <v>65</v>
      </c>
      <c r="I39" s="13"/>
      <c r="J39" s="13"/>
      <c r="K39" s="13"/>
      <c r="L39" s="13"/>
      <c r="M39" s="13"/>
      <c r="N39" s="13"/>
      <c r="O39" s="13"/>
      <c r="P39" s="13"/>
    </row>
    <row r="40" spans="1:16" s="28" customFormat="1" ht="15" customHeight="1" thickBot="1" x14ac:dyDescent="0.4">
      <c r="B40" s="25"/>
      <c r="C40" s="32" t="s">
        <v>208</v>
      </c>
      <c r="D40" s="7"/>
      <c r="E40" s="27"/>
      <c r="G40" s="13"/>
      <c r="H40" s="34" t="s">
        <v>66</v>
      </c>
      <c r="I40" s="13"/>
      <c r="J40" s="13"/>
      <c r="K40" s="13"/>
      <c r="L40" s="13"/>
      <c r="M40" s="13"/>
      <c r="N40" s="13"/>
      <c r="O40" s="13"/>
      <c r="P40" s="13"/>
    </row>
    <row r="41" spans="1:16" s="28" customFormat="1" ht="28.25" x14ac:dyDescent="0.35">
      <c r="B41" s="25"/>
      <c r="C41" s="26" t="s">
        <v>60</v>
      </c>
      <c r="D41" s="4" t="s">
        <v>951</v>
      </c>
      <c r="E41" s="27"/>
      <c r="G41" s="13"/>
      <c r="H41" s="34" t="s">
        <v>67</v>
      </c>
      <c r="I41" s="13"/>
      <c r="J41" s="13"/>
      <c r="K41" s="13"/>
      <c r="L41" s="13"/>
      <c r="M41" s="13"/>
      <c r="N41" s="13"/>
      <c r="O41" s="13"/>
      <c r="P41" s="13"/>
    </row>
    <row r="42" spans="1:16" s="28" customFormat="1" ht="14.15" x14ac:dyDescent="0.35">
      <c r="B42" s="25"/>
      <c r="C42" s="26" t="s">
        <v>62</v>
      </c>
      <c r="D42" s="5" t="s">
        <v>663</v>
      </c>
      <c r="E42" s="27"/>
      <c r="G42" s="13"/>
      <c r="H42" s="34" t="s">
        <v>68</v>
      </c>
      <c r="I42" s="13"/>
      <c r="J42" s="13"/>
      <c r="K42" s="13"/>
      <c r="L42" s="13"/>
      <c r="M42" s="13"/>
      <c r="N42" s="13"/>
      <c r="O42" s="13"/>
      <c r="P42" s="13"/>
    </row>
    <row r="43" spans="1:16" s="28" customFormat="1" ht="14.65" thickBot="1" x14ac:dyDescent="0.4">
      <c r="B43" s="25"/>
      <c r="C43" s="26" t="s">
        <v>64</v>
      </c>
      <c r="D43" s="6">
        <v>42971</v>
      </c>
      <c r="E43" s="27"/>
      <c r="G43" s="13"/>
      <c r="H43" s="34" t="s">
        <v>69</v>
      </c>
      <c r="I43" s="13"/>
      <c r="J43" s="13"/>
      <c r="K43" s="13"/>
      <c r="L43" s="13"/>
      <c r="M43" s="13"/>
      <c r="N43" s="13"/>
      <c r="O43" s="13"/>
      <c r="P43" s="13"/>
    </row>
    <row r="44" spans="1:16" s="28" customFormat="1" ht="14.65" thickBot="1" x14ac:dyDescent="0.4">
      <c r="B44" s="25"/>
      <c r="C44" s="32" t="s">
        <v>282</v>
      </c>
      <c r="D44" s="7"/>
      <c r="E44" s="27"/>
      <c r="G44" s="13"/>
      <c r="H44" s="34" t="s">
        <v>70</v>
      </c>
      <c r="I44" s="13"/>
      <c r="J44" s="13"/>
      <c r="K44" s="13"/>
      <c r="L44" s="13"/>
      <c r="M44" s="13"/>
      <c r="N44" s="13"/>
      <c r="O44" s="13"/>
      <c r="P44" s="13"/>
    </row>
    <row r="45" spans="1:16" s="28" customFormat="1" ht="28.25" x14ac:dyDescent="0.35">
      <c r="B45" s="25"/>
      <c r="C45" s="26" t="s">
        <v>60</v>
      </c>
      <c r="D45" s="8" t="s">
        <v>952</v>
      </c>
      <c r="E45" s="27"/>
      <c r="G45" s="13"/>
      <c r="H45" s="34" t="s">
        <v>71</v>
      </c>
      <c r="I45" s="13"/>
      <c r="J45" s="13"/>
      <c r="K45" s="13"/>
      <c r="L45" s="13"/>
      <c r="M45" s="13"/>
      <c r="N45" s="13"/>
      <c r="O45" s="13"/>
      <c r="P45" s="13"/>
    </row>
    <row r="46" spans="1:16" s="28" customFormat="1" ht="14.15" x14ac:dyDescent="0.35">
      <c r="B46" s="25"/>
      <c r="C46" s="26" t="s">
        <v>62</v>
      </c>
      <c r="D46" s="9" t="s">
        <v>953</v>
      </c>
      <c r="E46" s="27"/>
      <c r="G46" s="13"/>
      <c r="H46" s="34" t="s">
        <v>72</v>
      </c>
      <c r="I46" s="13"/>
      <c r="J46" s="13"/>
      <c r="K46" s="13"/>
      <c r="L46" s="13"/>
      <c r="M46" s="13"/>
      <c r="N46" s="13"/>
      <c r="O46" s="13"/>
      <c r="P46" s="13"/>
    </row>
    <row r="47" spans="1:16" ht="14.65" thickBot="1" x14ac:dyDescent="0.4">
      <c r="A47" s="28"/>
      <c r="B47" s="25"/>
      <c r="C47" s="26" t="s">
        <v>64</v>
      </c>
      <c r="D47" s="6">
        <v>42971</v>
      </c>
      <c r="E47" s="27"/>
      <c r="H47" s="34" t="s">
        <v>73</v>
      </c>
    </row>
    <row r="48" spans="1:16" ht="14.65" thickBot="1" x14ac:dyDescent="0.4">
      <c r="B48" s="25"/>
      <c r="C48" s="32" t="s">
        <v>207</v>
      </c>
      <c r="D48" s="7"/>
      <c r="E48" s="27"/>
      <c r="H48" s="34" t="s">
        <v>74</v>
      </c>
    </row>
    <row r="49" spans="2:8" ht="14.15" x14ac:dyDescent="0.35">
      <c r="B49" s="25"/>
      <c r="C49" s="26" t="s">
        <v>60</v>
      </c>
      <c r="D49" s="10" t="s">
        <v>664</v>
      </c>
      <c r="E49" s="27"/>
      <c r="H49" s="34" t="s">
        <v>75</v>
      </c>
    </row>
    <row r="50" spans="2:8" ht="14.15" x14ac:dyDescent="0.35">
      <c r="B50" s="25"/>
      <c r="C50" s="26" t="s">
        <v>62</v>
      </c>
      <c r="D50" s="5" t="s">
        <v>665</v>
      </c>
      <c r="E50" s="27"/>
      <c r="H50" s="34" t="s">
        <v>76</v>
      </c>
    </row>
    <row r="51" spans="2:8" ht="14.65" thickBot="1" x14ac:dyDescent="0.4">
      <c r="B51" s="25"/>
      <c r="C51" s="26" t="s">
        <v>64</v>
      </c>
      <c r="D51" s="6">
        <v>42971</v>
      </c>
      <c r="E51" s="27"/>
      <c r="H51" s="34" t="s">
        <v>77</v>
      </c>
    </row>
    <row r="52" spans="2:8" ht="14.65" thickBot="1" x14ac:dyDescent="0.4">
      <c r="B52" s="25"/>
      <c r="C52" s="32" t="s">
        <v>207</v>
      </c>
      <c r="D52" s="7"/>
      <c r="E52" s="27"/>
      <c r="H52" s="34" t="s">
        <v>78</v>
      </c>
    </row>
    <row r="53" spans="2:8" x14ac:dyDescent="0.35">
      <c r="B53" s="25"/>
      <c r="C53" s="26" t="s">
        <v>60</v>
      </c>
      <c r="D53" s="607" t="s">
        <v>742</v>
      </c>
      <c r="E53" s="27"/>
      <c r="H53" s="34" t="s">
        <v>79</v>
      </c>
    </row>
    <row r="54" spans="2:8" x14ac:dyDescent="0.35">
      <c r="B54" s="25"/>
      <c r="C54" s="26" t="s">
        <v>62</v>
      </c>
      <c r="D54" s="608"/>
      <c r="E54" s="27"/>
      <c r="H54" s="34" t="s">
        <v>80</v>
      </c>
    </row>
    <row r="55" spans="2:8" ht="15" thickBot="1" x14ac:dyDescent="0.4">
      <c r="B55" s="25"/>
      <c r="C55" s="26" t="s">
        <v>64</v>
      </c>
      <c r="D55" s="609"/>
      <c r="E55" s="27"/>
      <c r="H55" s="34" t="s">
        <v>81</v>
      </c>
    </row>
    <row r="56" spans="2:8" ht="14.65" thickBot="1" x14ac:dyDescent="0.4">
      <c r="B56" s="25"/>
      <c r="C56" s="32" t="s">
        <v>207</v>
      </c>
      <c r="D56" s="7"/>
      <c r="E56" s="27"/>
      <c r="H56" s="34" t="s">
        <v>82</v>
      </c>
    </row>
    <row r="57" spans="2:8" x14ac:dyDescent="0.35">
      <c r="B57" s="25"/>
      <c r="C57" s="26" t="s">
        <v>60</v>
      </c>
      <c r="D57" s="607" t="s">
        <v>742</v>
      </c>
      <c r="E57" s="27"/>
      <c r="H57" s="34" t="s">
        <v>83</v>
      </c>
    </row>
    <row r="58" spans="2:8" x14ac:dyDescent="0.35">
      <c r="B58" s="25"/>
      <c r="C58" s="26" t="s">
        <v>62</v>
      </c>
      <c r="D58" s="608"/>
      <c r="E58" s="27"/>
      <c r="H58" s="34" t="s">
        <v>84</v>
      </c>
    </row>
    <row r="59" spans="2:8" ht="15" thickBot="1" x14ac:dyDescent="0.4">
      <c r="B59" s="25"/>
      <c r="C59" s="26" t="s">
        <v>64</v>
      </c>
      <c r="D59" s="609"/>
      <c r="E59" s="27"/>
      <c r="H59" s="34" t="s">
        <v>85</v>
      </c>
    </row>
    <row r="60" spans="2:8" ht="14.65" thickBot="1" x14ac:dyDescent="0.4">
      <c r="B60" s="52"/>
      <c r="C60" s="53"/>
      <c r="D60" s="54"/>
      <c r="E60" s="55"/>
      <c r="H60" s="34" t="s">
        <v>86</v>
      </c>
    </row>
    <row r="61" spans="2:8" ht="14.15" x14ac:dyDescent="0.35">
      <c r="H61" s="34" t="s">
        <v>87</v>
      </c>
    </row>
    <row r="62" spans="2:8" ht="14.15" x14ac:dyDescent="0.35">
      <c r="H62" s="34" t="s">
        <v>88</v>
      </c>
    </row>
    <row r="63" spans="2:8" ht="14.15" x14ac:dyDescent="0.35">
      <c r="H63" s="34" t="s">
        <v>89</v>
      </c>
    </row>
    <row r="64" spans="2:8" ht="14.15" x14ac:dyDescent="0.35">
      <c r="H64" s="34" t="s">
        <v>90</v>
      </c>
    </row>
    <row r="65" spans="8:8" ht="14.15" x14ac:dyDescent="0.35">
      <c r="H65" s="34" t="s">
        <v>91</v>
      </c>
    </row>
    <row r="66" spans="8:8" ht="14.15" x14ac:dyDescent="0.35">
      <c r="H66" s="34" t="s">
        <v>92</v>
      </c>
    </row>
    <row r="67" spans="8:8" ht="14.15" x14ac:dyDescent="0.35">
      <c r="H67" s="34" t="s">
        <v>93</v>
      </c>
    </row>
    <row r="68" spans="8:8" ht="14.15" x14ac:dyDescent="0.35">
      <c r="H68" s="34" t="s">
        <v>94</v>
      </c>
    </row>
    <row r="69" spans="8:8" ht="14.15" x14ac:dyDescent="0.35">
      <c r="H69" s="34" t="s">
        <v>95</v>
      </c>
    </row>
    <row r="70" spans="8:8" x14ac:dyDescent="0.35">
      <c r="H70" s="34" t="s">
        <v>96</v>
      </c>
    </row>
    <row r="71" spans="8:8" x14ac:dyDescent="0.35">
      <c r="H71" s="34" t="s">
        <v>97</v>
      </c>
    </row>
    <row r="72" spans="8:8" x14ac:dyDescent="0.35">
      <c r="H72" s="34" t="s">
        <v>98</v>
      </c>
    </row>
    <row r="73" spans="8:8" x14ac:dyDescent="0.35">
      <c r="H73" s="34" t="s">
        <v>99</v>
      </c>
    </row>
    <row r="74" spans="8:8" x14ac:dyDescent="0.35">
      <c r="H74" s="34" t="s">
        <v>100</v>
      </c>
    </row>
    <row r="75" spans="8:8" x14ac:dyDescent="0.35">
      <c r="H75" s="34" t="s">
        <v>101</v>
      </c>
    </row>
    <row r="76" spans="8:8" x14ac:dyDescent="0.35">
      <c r="H76" s="34" t="s">
        <v>102</v>
      </c>
    </row>
    <row r="77" spans="8:8" x14ac:dyDescent="0.35">
      <c r="H77" s="34" t="s">
        <v>103</v>
      </c>
    </row>
    <row r="78" spans="8:8" x14ac:dyDescent="0.35">
      <c r="H78" s="34" t="s">
        <v>104</v>
      </c>
    </row>
    <row r="79" spans="8:8" x14ac:dyDescent="0.35">
      <c r="H79" s="34" t="s">
        <v>105</v>
      </c>
    </row>
    <row r="80" spans="8:8" x14ac:dyDescent="0.35">
      <c r="H80" s="34" t="s">
        <v>106</v>
      </c>
    </row>
    <row r="81" spans="8:8" x14ac:dyDescent="0.35">
      <c r="H81" s="34" t="s">
        <v>107</v>
      </c>
    </row>
    <row r="82" spans="8:8" x14ac:dyDescent="0.35">
      <c r="H82" s="34" t="s">
        <v>108</v>
      </c>
    </row>
    <row r="83" spans="8:8" x14ac:dyDescent="0.35">
      <c r="H83" s="34" t="s">
        <v>109</v>
      </c>
    </row>
    <row r="84" spans="8:8" x14ac:dyDescent="0.35">
      <c r="H84" s="34" t="s">
        <v>110</v>
      </c>
    </row>
    <row r="85" spans="8:8" x14ac:dyDescent="0.35">
      <c r="H85" s="34" t="s">
        <v>111</v>
      </c>
    </row>
    <row r="86" spans="8:8" x14ac:dyDescent="0.35">
      <c r="H86" s="34" t="s">
        <v>112</v>
      </c>
    </row>
    <row r="87" spans="8:8" x14ac:dyDescent="0.35">
      <c r="H87" s="34" t="s">
        <v>113</v>
      </c>
    </row>
    <row r="88" spans="8:8" x14ac:dyDescent="0.35">
      <c r="H88" s="34" t="s">
        <v>114</v>
      </c>
    </row>
    <row r="89" spans="8:8" x14ac:dyDescent="0.35">
      <c r="H89" s="34" t="s">
        <v>115</v>
      </c>
    </row>
    <row r="90" spans="8:8" x14ac:dyDescent="0.35">
      <c r="H90" s="34" t="s">
        <v>116</v>
      </c>
    </row>
    <row r="91" spans="8:8" x14ac:dyDescent="0.35">
      <c r="H91" s="34" t="s">
        <v>117</v>
      </c>
    </row>
    <row r="92" spans="8:8" x14ac:dyDescent="0.35">
      <c r="H92" s="34" t="s">
        <v>118</v>
      </c>
    </row>
    <row r="93" spans="8:8" x14ac:dyDescent="0.35">
      <c r="H93" s="34" t="s">
        <v>119</v>
      </c>
    </row>
    <row r="94" spans="8:8" x14ac:dyDescent="0.35">
      <c r="H94" s="34" t="s">
        <v>120</v>
      </c>
    </row>
    <row r="95" spans="8:8" x14ac:dyDescent="0.35">
      <c r="H95" s="34" t="s">
        <v>121</v>
      </c>
    </row>
    <row r="96" spans="8:8" x14ac:dyDescent="0.35">
      <c r="H96" s="34" t="s">
        <v>122</v>
      </c>
    </row>
    <row r="97" spans="8:8" x14ac:dyDescent="0.35">
      <c r="H97" s="34" t="s">
        <v>123</v>
      </c>
    </row>
    <row r="98" spans="8:8" x14ac:dyDescent="0.35">
      <c r="H98" s="34" t="s">
        <v>124</v>
      </c>
    </row>
    <row r="99" spans="8:8" x14ac:dyDescent="0.35">
      <c r="H99" s="34" t="s">
        <v>125</v>
      </c>
    </row>
    <row r="100" spans="8:8" x14ac:dyDescent="0.35">
      <c r="H100" s="34" t="s">
        <v>126</v>
      </c>
    </row>
    <row r="101" spans="8:8" x14ac:dyDescent="0.35">
      <c r="H101" s="34" t="s">
        <v>127</v>
      </c>
    </row>
    <row r="102" spans="8:8" x14ac:dyDescent="0.35">
      <c r="H102" s="34" t="s">
        <v>128</v>
      </c>
    </row>
    <row r="103" spans="8:8" x14ac:dyDescent="0.35">
      <c r="H103" s="34" t="s">
        <v>129</v>
      </c>
    </row>
    <row r="104" spans="8:8" x14ac:dyDescent="0.35">
      <c r="H104" s="34" t="s">
        <v>130</v>
      </c>
    </row>
    <row r="105" spans="8:8" x14ac:dyDescent="0.35">
      <c r="H105" s="34" t="s">
        <v>131</v>
      </c>
    </row>
    <row r="106" spans="8:8" x14ac:dyDescent="0.35">
      <c r="H106" s="34" t="s">
        <v>132</v>
      </c>
    </row>
    <row r="107" spans="8:8" x14ac:dyDescent="0.35">
      <c r="H107" s="34" t="s">
        <v>133</v>
      </c>
    </row>
    <row r="108" spans="8:8" x14ac:dyDescent="0.35">
      <c r="H108" s="34" t="s">
        <v>134</v>
      </c>
    </row>
    <row r="109" spans="8:8" x14ac:dyDescent="0.35">
      <c r="H109" s="34" t="s">
        <v>135</v>
      </c>
    </row>
    <row r="110" spans="8:8" x14ac:dyDescent="0.35">
      <c r="H110" s="34" t="s">
        <v>136</v>
      </c>
    </row>
    <row r="111" spans="8:8" x14ac:dyDescent="0.35">
      <c r="H111" s="34" t="s">
        <v>137</v>
      </c>
    </row>
    <row r="112" spans="8:8" x14ac:dyDescent="0.35">
      <c r="H112" s="34" t="s">
        <v>138</v>
      </c>
    </row>
    <row r="113" spans="8:8" x14ac:dyDescent="0.35">
      <c r="H113" s="34" t="s">
        <v>139</v>
      </c>
    </row>
    <row r="114" spans="8:8" x14ac:dyDescent="0.35">
      <c r="H114" s="34" t="s">
        <v>140</v>
      </c>
    </row>
    <row r="115" spans="8:8" x14ac:dyDescent="0.35">
      <c r="H115" s="34" t="s">
        <v>141</v>
      </c>
    </row>
    <row r="116" spans="8:8" x14ac:dyDescent="0.35">
      <c r="H116" s="34" t="s">
        <v>142</v>
      </c>
    </row>
    <row r="117" spans="8:8" x14ac:dyDescent="0.35">
      <c r="H117" s="34" t="s">
        <v>143</v>
      </c>
    </row>
    <row r="118" spans="8:8" x14ac:dyDescent="0.35">
      <c r="H118" s="34" t="s">
        <v>144</v>
      </c>
    </row>
    <row r="119" spans="8:8" x14ac:dyDescent="0.35">
      <c r="H119" s="34" t="s">
        <v>145</v>
      </c>
    </row>
    <row r="120" spans="8:8" x14ac:dyDescent="0.35">
      <c r="H120" s="34" t="s">
        <v>146</v>
      </c>
    </row>
    <row r="121" spans="8:8" x14ac:dyDescent="0.35">
      <c r="H121" s="34" t="s">
        <v>147</v>
      </c>
    </row>
    <row r="122" spans="8:8" x14ac:dyDescent="0.35">
      <c r="H122" s="34" t="s">
        <v>148</v>
      </c>
    </row>
    <row r="123" spans="8:8" x14ac:dyDescent="0.35">
      <c r="H123" s="34" t="s">
        <v>149</v>
      </c>
    </row>
    <row r="124" spans="8:8" x14ac:dyDescent="0.35">
      <c r="H124" s="34" t="s">
        <v>150</v>
      </c>
    </row>
    <row r="125" spans="8:8" x14ac:dyDescent="0.35">
      <c r="H125" s="34" t="s">
        <v>151</v>
      </c>
    </row>
    <row r="126" spans="8:8" x14ac:dyDescent="0.35">
      <c r="H126" s="34" t="s">
        <v>152</v>
      </c>
    </row>
    <row r="127" spans="8:8" x14ac:dyDescent="0.35">
      <c r="H127" s="34" t="s">
        <v>153</v>
      </c>
    </row>
    <row r="128" spans="8:8" x14ac:dyDescent="0.35">
      <c r="H128" s="34" t="s">
        <v>154</v>
      </c>
    </row>
    <row r="129" spans="8:8" x14ac:dyDescent="0.35">
      <c r="H129" s="34" t="s">
        <v>155</v>
      </c>
    </row>
    <row r="130" spans="8:8" x14ac:dyDescent="0.35">
      <c r="H130" s="34" t="s">
        <v>156</v>
      </c>
    </row>
    <row r="131" spans="8:8" x14ac:dyDescent="0.35">
      <c r="H131" s="34" t="s">
        <v>157</v>
      </c>
    </row>
    <row r="132" spans="8:8" x14ac:dyDescent="0.35">
      <c r="H132" s="34" t="s">
        <v>158</v>
      </c>
    </row>
    <row r="133" spans="8:8" x14ac:dyDescent="0.35">
      <c r="H133" s="34" t="s">
        <v>159</v>
      </c>
    </row>
    <row r="134" spans="8:8" x14ac:dyDescent="0.35">
      <c r="H134" s="34" t="s">
        <v>160</v>
      </c>
    </row>
    <row r="135" spans="8:8" x14ac:dyDescent="0.35">
      <c r="H135" s="34" t="s">
        <v>161</v>
      </c>
    </row>
    <row r="136" spans="8:8" x14ac:dyDescent="0.35">
      <c r="H136" s="34" t="s">
        <v>162</v>
      </c>
    </row>
    <row r="137" spans="8:8" x14ac:dyDescent="0.35">
      <c r="H137" s="34" t="s">
        <v>163</v>
      </c>
    </row>
    <row r="138" spans="8:8" x14ac:dyDescent="0.35">
      <c r="H138" s="34" t="s">
        <v>164</v>
      </c>
    </row>
    <row r="139" spans="8:8" x14ac:dyDescent="0.35">
      <c r="H139" s="34" t="s">
        <v>165</v>
      </c>
    </row>
    <row r="140" spans="8:8" x14ac:dyDescent="0.35">
      <c r="H140" s="34" t="s">
        <v>166</v>
      </c>
    </row>
    <row r="141" spans="8:8" x14ac:dyDescent="0.35">
      <c r="H141" s="34" t="s">
        <v>167</v>
      </c>
    </row>
    <row r="142" spans="8:8" x14ac:dyDescent="0.35">
      <c r="H142" s="34" t="s">
        <v>168</v>
      </c>
    </row>
    <row r="143" spans="8:8" x14ac:dyDescent="0.35">
      <c r="H143" s="34" t="s">
        <v>169</v>
      </c>
    </row>
    <row r="144" spans="8:8" x14ac:dyDescent="0.35">
      <c r="H144" s="34" t="s">
        <v>170</v>
      </c>
    </row>
    <row r="145" spans="8:8" x14ac:dyDescent="0.35">
      <c r="H145" s="34" t="s">
        <v>171</v>
      </c>
    </row>
    <row r="146" spans="8:8" x14ac:dyDescent="0.35">
      <c r="H146" s="34" t="s">
        <v>172</v>
      </c>
    </row>
    <row r="147" spans="8:8" x14ac:dyDescent="0.35">
      <c r="H147" s="34" t="s">
        <v>173</v>
      </c>
    </row>
    <row r="148" spans="8:8" x14ac:dyDescent="0.35">
      <c r="H148" s="34" t="s">
        <v>174</v>
      </c>
    </row>
    <row r="149" spans="8:8" x14ac:dyDescent="0.35">
      <c r="H149" s="34" t="s">
        <v>175</v>
      </c>
    </row>
    <row r="150" spans="8:8" x14ac:dyDescent="0.35">
      <c r="H150" s="34" t="s">
        <v>176</v>
      </c>
    </row>
    <row r="151" spans="8:8" x14ac:dyDescent="0.35">
      <c r="H151" s="34" t="s">
        <v>177</v>
      </c>
    </row>
    <row r="152" spans="8:8" x14ac:dyDescent="0.35">
      <c r="H152" s="34" t="s">
        <v>178</v>
      </c>
    </row>
    <row r="153" spans="8:8" x14ac:dyDescent="0.35">
      <c r="H153" s="34" t="s">
        <v>179</v>
      </c>
    </row>
    <row r="154" spans="8:8" x14ac:dyDescent="0.35">
      <c r="H154" s="34" t="s">
        <v>180</v>
      </c>
    </row>
    <row r="155" spans="8:8" x14ac:dyDescent="0.35">
      <c r="H155" s="34" t="s">
        <v>181</v>
      </c>
    </row>
    <row r="156" spans="8:8" x14ac:dyDescent="0.35">
      <c r="H156" s="34" t="s">
        <v>182</v>
      </c>
    </row>
    <row r="157" spans="8:8" x14ac:dyDescent="0.35">
      <c r="H157" s="34" t="s">
        <v>183</v>
      </c>
    </row>
    <row r="158" spans="8:8" x14ac:dyDescent="0.35">
      <c r="H158" s="34" t="s">
        <v>184</v>
      </c>
    </row>
    <row r="159" spans="8:8" x14ac:dyDescent="0.35">
      <c r="H159" s="34" t="s">
        <v>185</v>
      </c>
    </row>
    <row r="160" spans="8:8" x14ac:dyDescent="0.35">
      <c r="H160" s="34" t="s">
        <v>186</v>
      </c>
    </row>
    <row r="161" spans="8:8" x14ac:dyDescent="0.35">
      <c r="H161" s="34" t="s">
        <v>187</v>
      </c>
    </row>
    <row r="162" spans="8:8" x14ac:dyDescent="0.35">
      <c r="H162" s="34" t="s">
        <v>188</v>
      </c>
    </row>
    <row r="163" spans="8:8" x14ac:dyDescent="0.35">
      <c r="H163" s="34" t="s">
        <v>189</v>
      </c>
    </row>
    <row r="164" spans="8:8" x14ac:dyDescent="0.35">
      <c r="H164" s="34" t="s">
        <v>190</v>
      </c>
    </row>
    <row r="165" spans="8:8" x14ac:dyDescent="0.35">
      <c r="H165" s="34" t="s">
        <v>191</v>
      </c>
    </row>
    <row r="166" spans="8:8" x14ac:dyDescent="0.35">
      <c r="H166" s="34" t="s">
        <v>192</v>
      </c>
    </row>
    <row r="167" spans="8:8" x14ac:dyDescent="0.35">
      <c r="H167" s="34" t="s">
        <v>193</v>
      </c>
    </row>
    <row r="168" spans="8:8" x14ac:dyDescent="0.35">
      <c r="H168" s="34" t="s">
        <v>194</v>
      </c>
    </row>
    <row r="169" spans="8:8" x14ac:dyDescent="0.35">
      <c r="H169" s="34" t="s">
        <v>195</v>
      </c>
    </row>
    <row r="170" spans="8:8" x14ac:dyDescent="0.35">
      <c r="H170" s="34" t="s">
        <v>196</v>
      </c>
    </row>
    <row r="171" spans="8:8" x14ac:dyDescent="0.35">
      <c r="H171" s="34" t="s">
        <v>197</v>
      </c>
    </row>
    <row r="172" spans="8:8" x14ac:dyDescent="0.35">
      <c r="H172" s="34" t="s">
        <v>198</v>
      </c>
    </row>
    <row r="173" spans="8:8" x14ac:dyDescent="0.35">
      <c r="H173" s="34" t="s">
        <v>199</v>
      </c>
    </row>
    <row r="174" spans="8:8" x14ac:dyDescent="0.35">
      <c r="H174" s="34" t="s">
        <v>200</v>
      </c>
    </row>
    <row r="175" spans="8:8" x14ac:dyDescent="0.35">
      <c r="H175" s="34" t="s">
        <v>201</v>
      </c>
    </row>
    <row r="176" spans="8:8" x14ac:dyDescent="0.35">
      <c r="H176" s="34" t="s">
        <v>202</v>
      </c>
    </row>
    <row r="177" spans="8:8" x14ac:dyDescent="0.35">
      <c r="H177" s="34" t="s">
        <v>203</v>
      </c>
    </row>
  </sheetData>
  <mergeCells count="11">
    <mergeCell ref="D53:D55"/>
    <mergeCell ref="D57:D5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33" r:id="rId1" xr:uid="{00000000-0004-0000-0000-000000000000}"/>
    <hyperlink ref="D38" r:id="rId2" xr:uid="{00000000-0004-0000-0000-000001000000}"/>
    <hyperlink ref="D42" r:id="rId3" xr:uid="{00000000-0004-0000-0000-000002000000}"/>
    <hyperlink ref="D50" r:id="rId4" xr:uid="{00000000-0004-0000-0000-000003000000}"/>
    <hyperlink ref="D46" r:id="rId5" xr:uid="{00000000-0004-0000-0000-000004000000}"/>
  </hyperlinks>
  <pageMargins left="0.7" right="0.7" top="0.38" bottom="0.75" header="0.3" footer="0.3"/>
  <pageSetup scale="48" fitToHeight="0"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112"/>
  <sheetViews>
    <sheetView topLeftCell="G93" zoomScale="66" zoomScaleNormal="66" workbookViewId="0">
      <selection activeCell="N97" sqref="N97"/>
    </sheetView>
  </sheetViews>
  <sheetFormatPr defaultColWidth="9.1796875" defaultRowHeight="15.5" x14ac:dyDescent="0.35"/>
  <cols>
    <col min="1" max="1" width="1.36328125" style="3" customWidth="1"/>
    <col min="2" max="2" width="1.54296875" style="56" customWidth="1"/>
    <col min="3" max="3" width="27.36328125" style="56" customWidth="1"/>
    <col min="4" max="5" width="0.1796875" style="56" customWidth="1"/>
    <col min="6" max="6" width="43.36328125" style="56" customWidth="1"/>
    <col min="7" max="7" width="57.1796875" style="56" customWidth="1"/>
    <col min="8" max="8" width="31" style="57" customWidth="1"/>
    <col min="9" max="9" width="29.1796875" style="57" customWidth="1"/>
    <col min="10" max="10" width="35.54296875" style="58" hidden="1" customWidth="1"/>
    <col min="11" max="11" width="31.54296875" style="59" hidden="1" customWidth="1"/>
    <col min="12" max="12" width="30.1796875" style="59" hidden="1" customWidth="1"/>
    <col min="13" max="13" width="25.54296875" style="58" customWidth="1"/>
    <col min="14" max="14" width="25.1796875" style="58" customWidth="1"/>
    <col min="15" max="15" width="6.81640625" style="3" customWidth="1"/>
    <col min="16" max="16" width="1.36328125" style="3" customWidth="1"/>
    <col min="17" max="17" width="9.1796875" style="3"/>
    <col min="18" max="18" width="18.1796875" style="3" hidden="1" customWidth="1"/>
    <col min="19" max="20" width="18.1796875" style="3" customWidth="1"/>
    <col min="21" max="21" width="18.26953125" style="3" customWidth="1"/>
    <col min="22" max="22" width="9.26953125" style="3" customWidth="1"/>
    <col min="23" max="16384" width="9.1796875" style="3"/>
  </cols>
  <sheetData>
    <row r="1" spans="2:22" thickBot="1" x14ac:dyDescent="0.4"/>
    <row r="2" spans="2:22" thickBot="1" x14ac:dyDescent="0.4">
      <c r="B2" s="60"/>
      <c r="C2" s="61"/>
      <c r="D2" s="61"/>
      <c r="E2" s="61"/>
      <c r="F2" s="61"/>
      <c r="G2" s="61"/>
      <c r="H2" s="62"/>
      <c r="I2" s="62"/>
      <c r="J2" s="63"/>
      <c r="K2" s="64"/>
      <c r="L2" s="64"/>
      <c r="M2" s="63"/>
      <c r="N2" s="63"/>
      <c r="O2" s="65"/>
    </row>
    <row r="3" spans="2:22" thickBot="1" x14ac:dyDescent="0.4">
      <c r="B3" s="66"/>
      <c r="C3" s="641" t="s">
        <v>955</v>
      </c>
      <c r="D3" s="642"/>
      <c r="E3" s="642"/>
      <c r="F3" s="642"/>
      <c r="G3" s="642"/>
      <c r="H3" s="642"/>
      <c r="I3" s="642"/>
      <c r="J3" s="642"/>
      <c r="K3" s="642"/>
      <c r="L3" s="642"/>
      <c r="M3" s="642"/>
      <c r="N3" s="643"/>
      <c r="O3" s="67"/>
    </row>
    <row r="4" spans="2:22" ht="15" x14ac:dyDescent="0.35">
      <c r="B4" s="644"/>
      <c r="C4" s="645"/>
      <c r="D4" s="645"/>
      <c r="E4" s="645"/>
      <c r="F4" s="645"/>
      <c r="G4" s="645"/>
      <c r="H4" s="645"/>
      <c r="I4" s="645"/>
      <c r="J4" s="645"/>
      <c r="K4" s="645"/>
      <c r="L4" s="645"/>
      <c r="M4" s="645"/>
      <c r="N4" s="68"/>
      <c r="O4" s="67"/>
    </row>
    <row r="5" spans="2:22" thickBot="1" x14ac:dyDescent="0.4">
      <c r="B5" s="69"/>
      <c r="C5" s="656"/>
      <c r="D5" s="656"/>
      <c r="E5" s="656"/>
      <c r="F5" s="656"/>
      <c r="G5" s="656"/>
      <c r="H5" s="656"/>
      <c r="I5" s="656"/>
      <c r="J5" s="656"/>
      <c r="K5" s="656"/>
      <c r="L5" s="656"/>
      <c r="M5" s="656"/>
      <c r="N5" s="68"/>
      <c r="O5" s="67"/>
    </row>
    <row r="6" spans="2:22" x14ac:dyDescent="0.35">
      <c r="B6" s="69"/>
      <c r="C6" s="70"/>
      <c r="D6" s="70"/>
      <c r="E6" s="70"/>
      <c r="F6" s="71"/>
      <c r="G6" s="71"/>
      <c r="H6" s="72"/>
      <c r="I6" s="72"/>
      <c r="J6" s="73"/>
      <c r="K6" s="619">
        <v>347158</v>
      </c>
      <c r="L6" s="620"/>
      <c r="M6" s="68"/>
      <c r="N6" s="68"/>
      <c r="O6" s="67"/>
    </row>
    <row r="7" spans="2:22" ht="44.25" customHeight="1" thickBot="1" x14ac:dyDescent="0.4">
      <c r="B7" s="69"/>
      <c r="C7" s="652" t="s">
        <v>241</v>
      </c>
      <c r="D7" s="652"/>
      <c r="E7" s="652"/>
      <c r="F7" s="652"/>
      <c r="G7" s="74"/>
      <c r="H7" s="75"/>
      <c r="I7" s="75"/>
      <c r="J7" s="76"/>
      <c r="K7" s="621"/>
      <c r="L7" s="622"/>
      <c r="M7" s="68"/>
      <c r="N7" s="68"/>
      <c r="O7" s="67"/>
    </row>
    <row r="8" spans="2:22" ht="27.75" customHeight="1" thickBot="1" x14ac:dyDescent="0.4">
      <c r="B8" s="69"/>
      <c r="C8" s="667" t="s">
        <v>251</v>
      </c>
      <c r="D8" s="667"/>
      <c r="E8" s="667"/>
      <c r="F8" s="667"/>
      <c r="G8" s="667"/>
      <c r="H8" s="667"/>
      <c r="I8" s="667"/>
      <c r="J8" s="667"/>
      <c r="K8" s="667"/>
      <c r="L8" s="667"/>
      <c r="M8" s="667"/>
      <c r="N8" s="68"/>
      <c r="O8" s="67"/>
    </row>
    <row r="9" spans="2:22" ht="50.15" customHeight="1" x14ac:dyDescent="0.35">
      <c r="B9" s="69"/>
      <c r="C9" s="646" t="s">
        <v>916</v>
      </c>
      <c r="D9" s="646"/>
      <c r="E9" s="646"/>
      <c r="F9" s="646"/>
      <c r="G9" s="647"/>
      <c r="H9" s="661">
        <v>347158</v>
      </c>
      <c r="I9" s="662"/>
      <c r="J9" s="662"/>
      <c r="K9" s="662"/>
      <c r="L9" s="662"/>
      <c r="M9" s="663"/>
      <c r="N9" s="68"/>
      <c r="O9" s="67"/>
      <c r="R9" s="77"/>
    </row>
    <row r="10" spans="2:22" ht="50.15" customHeight="1" x14ac:dyDescent="0.35">
      <c r="B10" s="69"/>
      <c r="C10" s="646" t="s">
        <v>961</v>
      </c>
      <c r="D10" s="646"/>
      <c r="E10" s="646"/>
      <c r="F10" s="646"/>
      <c r="G10" s="647"/>
      <c r="H10" s="648">
        <v>347158</v>
      </c>
      <c r="I10" s="649"/>
      <c r="J10" s="649"/>
      <c r="K10" s="649"/>
      <c r="L10" s="649"/>
      <c r="M10" s="650"/>
      <c r="N10" s="68"/>
      <c r="O10" s="67"/>
      <c r="R10" s="77"/>
    </row>
    <row r="11" spans="2:22" ht="85.5" customHeight="1" thickBot="1" x14ac:dyDescent="0.4">
      <c r="B11" s="69"/>
      <c r="C11" s="646" t="s">
        <v>242</v>
      </c>
      <c r="D11" s="646"/>
      <c r="E11" s="646"/>
      <c r="F11" s="646"/>
      <c r="G11" s="646"/>
      <c r="H11" s="664" t="s">
        <v>793</v>
      </c>
      <c r="I11" s="665"/>
      <c r="J11" s="665"/>
      <c r="K11" s="665"/>
      <c r="L11" s="665"/>
      <c r="M11" s="666"/>
      <c r="N11" s="68"/>
      <c r="O11" s="67"/>
    </row>
    <row r="12" spans="2:22" thickBot="1" x14ac:dyDescent="0.4">
      <c r="B12" s="69"/>
      <c r="C12" s="71"/>
      <c r="D12" s="71"/>
      <c r="E12" s="71"/>
      <c r="F12" s="71"/>
      <c r="G12" s="71"/>
      <c r="H12" s="78"/>
      <c r="I12" s="78"/>
      <c r="J12" s="68"/>
      <c r="K12" s="78"/>
      <c r="L12" s="78"/>
      <c r="M12" s="68"/>
      <c r="N12" s="68"/>
      <c r="O12" s="67"/>
    </row>
    <row r="13" spans="2:22" ht="107.25" customHeight="1" thickBot="1" x14ac:dyDescent="0.4">
      <c r="B13" s="69"/>
      <c r="C13" s="652" t="s">
        <v>311</v>
      </c>
      <c r="D13" s="652"/>
      <c r="E13" s="652"/>
      <c r="F13" s="652"/>
      <c r="G13" s="74"/>
      <c r="H13" s="658" t="s">
        <v>1022</v>
      </c>
      <c r="I13" s="659"/>
      <c r="J13" s="659"/>
      <c r="K13" s="659"/>
      <c r="L13" s="659"/>
      <c r="M13" s="660"/>
      <c r="N13" s="68"/>
      <c r="O13" s="67"/>
    </row>
    <row r="14" spans="2:22" ht="15" customHeight="1" x14ac:dyDescent="0.35">
      <c r="B14" s="69"/>
      <c r="C14" s="657" t="s">
        <v>310</v>
      </c>
      <c r="D14" s="657"/>
      <c r="E14" s="657"/>
      <c r="F14" s="657"/>
      <c r="G14" s="657"/>
      <c r="H14" s="657"/>
      <c r="I14" s="657"/>
      <c r="J14" s="657"/>
      <c r="K14" s="657"/>
      <c r="L14" s="657"/>
      <c r="M14" s="657"/>
      <c r="N14" s="68"/>
      <c r="O14" s="67"/>
    </row>
    <row r="15" spans="2:22" ht="15" customHeight="1" x14ac:dyDescent="0.35">
      <c r="B15" s="69"/>
      <c r="C15" s="79"/>
      <c r="D15" s="79"/>
      <c r="E15" s="79"/>
      <c r="F15" s="79"/>
      <c r="G15" s="79"/>
      <c r="H15" s="80"/>
      <c r="I15" s="80"/>
      <c r="J15" s="79"/>
      <c r="K15" s="80"/>
      <c r="L15" s="80"/>
      <c r="M15" s="79"/>
      <c r="N15" s="68"/>
      <c r="O15" s="67"/>
    </row>
    <row r="16" spans="2:22" thickBot="1" x14ac:dyDescent="0.4">
      <c r="B16" s="69"/>
      <c r="C16" s="652" t="s">
        <v>218</v>
      </c>
      <c r="D16" s="652"/>
      <c r="E16" s="652"/>
      <c r="F16" s="652"/>
      <c r="G16" s="74"/>
      <c r="H16" s="78"/>
      <c r="I16" s="78"/>
      <c r="J16" s="68"/>
      <c r="K16" s="78"/>
      <c r="L16" s="78"/>
      <c r="M16" s="68"/>
      <c r="N16" s="68"/>
      <c r="O16" s="67"/>
      <c r="Q16" s="77"/>
      <c r="R16" s="77"/>
      <c r="S16" s="77"/>
      <c r="T16" s="77"/>
      <c r="U16" s="77"/>
      <c r="V16" s="77"/>
    </row>
    <row r="17" spans="2:22" ht="85.5" customHeight="1" thickBot="1" x14ac:dyDescent="0.4">
      <c r="B17" s="69"/>
      <c r="C17" s="81" t="s">
        <v>783</v>
      </c>
      <c r="D17" s="74"/>
      <c r="E17" s="74"/>
      <c r="F17" s="82" t="s">
        <v>901</v>
      </c>
      <c r="G17" s="82" t="s">
        <v>1019</v>
      </c>
      <c r="H17" s="83" t="s">
        <v>219</v>
      </c>
      <c r="I17" s="84" t="s">
        <v>948</v>
      </c>
      <c r="J17" s="85" t="s">
        <v>949</v>
      </c>
      <c r="K17" s="83" t="s">
        <v>964</v>
      </c>
      <c r="L17" s="83" t="s">
        <v>965</v>
      </c>
      <c r="M17" s="86" t="s">
        <v>853</v>
      </c>
      <c r="N17" s="87" t="s">
        <v>854</v>
      </c>
      <c r="O17" s="67"/>
      <c r="Q17" s="77"/>
      <c r="R17" s="88"/>
      <c r="S17" s="88"/>
      <c r="T17" s="88"/>
      <c r="U17" s="88"/>
      <c r="V17" s="77"/>
    </row>
    <row r="18" spans="2:22" ht="73.5" customHeight="1" x14ac:dyDescent="0.35">
      <c r="B18" s="69"/>
      <c r="C18" s="71"/>
      <c r="D18" s="71"/>
      <c r="E18" s="71"/>
      <c r="F18" s="89" t="s">
        <v>862</v>
      </c>
      <c r="G18" s="90" t="s">
        <v>914</v>
      </c>
      <c r="H18" s="91" t="s">
        <v>666</v>
      </c>
      <c r="I18" s="92">
        <f>J18/59.9993</f>
        <v>22831.933039218791</v>
      </c>
      <c r="J18" s="93">
        <v>1369900</v>
      </c>
      <c r="K18" s="94">
        <v>1373153</v>
      </c>
      <c r="L18" s="95">
        <v>2020634</v>
      </c>
      <c r="M18" s="259">
        <v>32166.1373153196</v>
      </c>
      <c r="N18" s="96">
        <f>1373153+662481</f>
        <v>2035634</v>
      </c>
      <c r="O18" s="67"/>
      <c r="Q18" s="97"/>
      <c r="R18" s="98"/>
      <c r="S18" s="98"/>
      <c r="T18" s="99"/>
      <c r="U18" s="99"/>
      <c r="V18" s="77"/>
    </row>
    <row r="19" spans="2:22" ht="249" customHeight="1" x14ac:dyDescent="0.35">
      <c r="B19" s="69"/>
      <c r="C19" s="71"/>
      <c r="D19" s="71"/>
      <c r="E19" s="71"/>
      <c r="F19" s="100" t="s">
        <v>903</v>
      </c>
      <c r="G19" s="101" t="s">
        <v>902</v>
      </c>
      <c r="H19" s="102" t="s">
        <v>667</v>
      </c>
      <c r="I19" s="92">
        <f t="shared" ref="I19:I22" si="0">J19/59.9993</f>
        <v>32725.381796120957</v>
      </c>
      <c r="J19" s="103">
        <v>1963500</v>
      </c>
      <c r="K19" s="104">
        <v>1576395</v>
      </c>
      <c r="L19" s="105">
        <v>1835235</v>
      </c>
      <c r="M19" s="106">
        <v>30274.630639171999</v>
      </c>
      <c r="N19" s="107">
        <f>1576395+339535</f>
        <v>1915930</v>
      </c>
      <c r="O19" s="67"/>
      <c r="Q19" s="77"/>
      <c r="R19" s="99"/>
      <c r="S19" s="99"/>
      <c r="T19" s="99"/>
      <c r="U19" s="99"/>
      <c r="V19" s="77"/>
    </row>
    <row r="20" spans="2:22" ht="403.5" customHeight="1" x14ac:dyDescent="0.35">
      <c r="B20" s="69"/>
      <c r="C20" s="71"/>
      <c r="D20" s="71"/>
      <c r="E20" s="71"/>
      <c r="F20" s="108" t="s">
        <v>906</v>
      </c>
      <c r="G20" s="109" t="s">
        <v>904</v>
      </c>
      <c r="H20" s="102" t="s">
        <v>668</v>
      </c>
      <c r="I20" s="92">
        <f t="shared" si="0"/>
        <v>201014.17849874916</v>
      </c>
      <c r="J20" s="110">
        <v>12060710</v>
      </c>
      <c r="K20" s="104">
        <v>6536529</v>
      </c>
      <c r="L20" s="95">
        <v>10230631</v>
      </c>
      <c r="M20" s="106">
        <v>164660.15643517423</v>
      </c>
      <c r="N20" s="107">
        <f>6536529+3883989</f>
        <v>10420518</v>
      </c>
      <c r="O20" s="67"/>
      <c r="Q20" s="77"/>
      <c r="R20" s="99"/>
      <c r="S20" s="99"/>
      <c r="T20" s="99"/>
      <c r="U20" s="99"/>
      <c r="V20" s="77"/>
    </row>
    <row r="21" spans="2:22" ht="214.5" customHeight="1" x14ac:dyDescent="0.35">
      <c r="B21" s="69"/>
      <c r="C21" s="71"/>
      <c r="D21" s="71"/>
      <c r="E21" s="71"/>
      <c r="F21" s="108" t="s">
        <v>905</v>
      </c>
      <c r="G21" s="111" t="s">
        <v>966</v>
      </c>
      <c r="H21" s="112" t="s">
        <v>669</v>
      </c>
      <c r="I21" s="92">
        <f t="shared" si="0"/>
        <v>31933.372556013153</v>
      </c>
      <c r="J21" s="110">
        <v>1915980</v>
      </c>
      <c r="K21" s="104">
        <v>1011254.5</v>
      </c>
      <c r="L21" s="105">
        <v>1724809.5</v>
      </c>
      <c r="M21" s="106">
        <v>28649.46</v>
      </c>
      <c r="N21" s="107">
        <v>1813224.5</v>
      </c>
      <c r="O21" s="67"/>
      <c r="Q21" s="77"/>
      <c r="R21" s="99"/>
      <c r="S21" s="99"/>
      <c r="T21" s="99"/>
      <c r="U21" s="99"/>
      <c r="V21" s="77"/>
    </row>
    <row r="22" spans="2:22" ht="30.5" thickBot="1" x14ac:dyDescent="0.4">
      <c r="B22" s="69"/>
      <c r="C22" s="71"/>
      <c r="D22" s="71"/>
      <c r="E22" s="71"/>
      <c r="F22" s="113"/>
      <c r="G22" s="114"/>
      <c r="H22" s="115" t="s">
        <v>670</v>
      </c>
      <c r="I22" s="92">
        <f t="shared" si="0"/>
        <v>58653.634292400078</v>
      </c>
      <c r="J22" s="110">
        <v>3519177</v>
      </c>
      <c r="K22" s="104">
        <v>2659249.5</v>
      </c>
      <c r="L22" s="105">
        <v>4003593.5</v>
      </c>
      <c r="M22" s="116">
        <v>65874.638539938373</v>
      </c>
      <c r="N22" s="117">
        <f>2674829.5+1494047</f>
        <v>4168876.5</v>
      </c>
      <c r="O22" s="67"/>
      <c r="Q22" s="77"/>
      <c r="R22" s="99"/>
      <c r="S22" s="99"/>
      <c r="T22" s="99"/>
      <c r="U22" s="99"/>
      <c r="V22" s="77"/>
    </row>
    <row r="23" spans="2:22" thickBot="1" x14ac:dyDescent="0.4">
      <c r="B23" s="69"/>
      <c r="C23" s="71"/>
      <c r="D23" s="71"/>
      <c r="E23" s="71"/>
      <c r="F23" s="113"/>
      <c r="G23" s="114"/>
      <c r="H23" s="118"/>
      <c r="I23" s="119"/>
      <c r="J23" s="120"/>
      <c r="K23" s="121"/>
      <c r="L23" s="121"/>
      <c r="M23" s="122"/>
      <c r="N23" s="123"/>
      <c r="O23" s="67"/>
      <c r="Q23" s="77"/>
      <c r="R23" s="99"/>
      <c r="S23" s="99"/>
      <c r="T23" s="99"/>
      <c r="U23" s="99"/>
      <c r="V23" s="77"/>
    </row>
    <row r="24" spans="2:22" thickBot="1" x14ac:dyDescent="0.4">
      <c r="B24" s="69"/>
      <c r="C24" s="71"/>
      <c r="D24" s="71"/>
      <c r="E24" s="71"/>
      <c r="F24" s="113"/>
      <c r="G24" s="124"/>
      <c r="H24" s="125" t="s">
        <v>284</v>
      </c>
      <c r="I24" s="126">
        <f>SUM(I18:I22)</f>
        <v>347158.50018250215</v>
      </c>
      <c r="J24" s="127">
        <f>SUM(J18:J22)</f>
        <v>20829267</v>
      </c>
      <c r="K24" s="128">
        <f>SUM(K18:K23)</f>
        <v>13156581</v>
      </c>
      <c r="L24" s="129">
        <f>SUM(L18:L23)</f>
        <v>19814903</v>
      </c>
      <c r="M24" s="130">
        <f>SUM(M18:M23)</f>
        <v>321625.02292960417</v>
      </c>
      <c r="N24" s="131">
        <f>SUM(N18:N23)</f>
        <v>20354183</v>
      </c>
      <c r="O24" s="67"/>
      <c r="Q24" s="77"/>
      <c r="R24" s="99">
        <f>L24/M24</f>
        <v>61.608710726270189</v>
      </c>
      <c r="S24" s="99"/>
      <c r="T24" s="99"/>
      <c r="U24" s="99"/>
      <c r="V24" s="77"/>
    </row>
    <row r="25" spans="2:22" ht="15" x14ac:dyDescent="0.35">
      <c r="B25" s="69"/>
      <c r="C25" s="71"/>
      <c r="D25" s="71"/>
      <c r="E25" s="71"/>
      <c r="F25" s="71"/>
      <c r="G25" s="71"/>
      <c r="H25" s="78"/>
      <c r="I25" s="78"/>
      <c r="J25" s="132">
        <f>28*60</f>
        <v>1680</v>
      </c>
      <c r="K25" s="78"/>
      <c r="L25" s="78"/>
      <c r="M25" s="133"/>
      <c r="N25" s="68"/>
      <c r="O25" s="67"/>
      <c r="Q25" s="77"/>
      <c r="R25" s="77"/>
      <c r="S25" s="77"/>
      <c r="T25" s="77"/>
      <c r="U25" s="77"/>
      <c r="V25" s="77"/>
    </row>
    <row r="26" spans="2:22" ht="34.5" customHeight="1" thickBot="1" x14ac:dyDescent="0.4">
      <c r="B26" s="69"/>
      <c r="C26" s="652" t="s">
        <v>292</v>
      </c>
      <c r="D26" s="652"/>
      <c r="E26" s="652"/>
      <c r="F26" s="652"/>
      <c r="G26" s="74"/>
      <c r="H26" s="78"/>
      <c r="I26" s="78"/>
      <c r="J26" s="68">
        <f>SUM(J24:J25)</f>
        <v>20830947</v>
      </c>
      <c r="K26" s="78"/>
      <c r="L26" s="78"/>
      <c r="M26" s="68"/>
      <c r="N26" s="68"/>
      <c r="O26" s="67"/>
      <c r="Q26" s="77"/>
      <c r="R26" s="77">
        <f>347158*60</f>
        <v>20829480</v>
      </c>
      <c r="S26" s="77"/>
      <c r="T26" s="77"/>
      <c r="U26" s="77"/>
      <c r="V26" s="77"/>
    </row>
    <row r="27" spans="2:22" ht="102.75" customHeight="1" thickBot="1" x14ac:dyDescent="0.4">
      <c r="B27" s="69"/>
      <c r="C27" s="74" t="s">
        <v>294</v>
      </c>
      <c r="D27" s="74"/>
      <c r="E27" s="74"/>
      <c r="F27" s="134" t="s">
        <v>851</v>
      </c>
      <c r="G27" s="135" t="s">
        <v>851</v>
      </c>
      <c r="H27" s="136" t="s">
        <v>219</v>
      </c>
      <c r="I27" s="136" t="s">
        <v>948</v>
      </c>
      <c r="J27" s="137" t="s">
        <v>839</v>
      </c>
      <c r="K27" s="138" t="s">
        <v>846</v>
      </c>
      <c r="L27" s="138" t="s">
        <v>967</v>
      </c>
      <c r="M27" s="139" t="s">
        <v>954</v>
      </c>
      <c r="N27" s="140" t="s">
        <v>252</v>
      </c>
      <c r="O27" s="67"/>
      <c r="R27" s="3">
        <f>R26-J24</f>
        <v>213</v>
      </c>
    </row>
    <row r="28" spans="2:22" ht="27" customHeight="1" x14ac:dyDescent="0.35">
      <c r="B28" s="69"/>
      <c r="C28" s="71"/>
      <c r="D28" s="71"/>
      <c r="E28" s="71"/>
      <c r="F28" s="668" t="s">
        <v>862</v>
      </c>
      <c r="G28" s="670" t="s">
        <v>962</v>
      </c>
      <c r="H28" s="141" t="s">
        <v>671</v>
      </c>
      <c r="I28" s="141">
        <f>1120000/59.9993</f>
        <v>18666.884446985216</v>
      </c>
      <c r="J28" s="142">
        <v>1120000</v>
      </c>
      <c r="K28" s="143">
        <v>1154245</v>
      </c>
      <c r="L28" s="144">
        <f>1133045+21200+543806</f>
        <v>1698051</v>
      </c>
      <c r="M28" s="145">
        <v>15000</v>
      </c>
      <c r="N28" s="146">
        <v>43069</v>
      </c>
      <c r="O28" s="67"/>
    </row>
    <row r="29" spans="2:22" ht="34.5" customHeight="1" x14ac:dyDescent="0.35">
      <c r="B29" s="69"/>
      <c r="C29" s="71"/>
      <c r="D29" s="71"/>
      <c r="E29" s="71"/>
      <c r="F29" s="669"/>
      <c r="G29" s="671"/>
      <c r="H29" s="147" t="s">
        <v>672</v>
      </c>
      <c r="I29" s="141">
        <f>249900/59.9993</f>
        <v>4165.0485922335765</v>
      </c>
      <c r="J29" s="148">
        <v>249900</v>
      </c>
      <c r="K29" s="149">
        <v>218908</v>
      </c>
      <c r="L29" s="150">
        <f>125976+92932+55995+47680</f>
        <v>322583</v>
      </c>
      <c r="M29" s="151">
        <v>0</v>
      </c>
      <c r="N29" s="152"/>
      <c r="O29" s="67"/>
    </row>
    <row r="30" spans="2:22" ht="15" x14ac:dyDescent="0.35">
      <c r="B30" s="69"/>
      <c r="C30" s="71"/>
      <c r="D30" s="71"/>
      <c r="E30" s="71"/>
      <c r="F30" s="113"/>
      <c r="G30" s="114"/>
      <c r="H30" s="153" t="s">
        <v>673</v>
      </c>
      <c r="I30" s="154">
        <f>SUM(I28:I29)</f>
        <v>22831.933039218791</v>
      </c>
      <c r="J30" s="155">
        <v>1369900</v>
      </c>
      <c r="K30" s="156">
        <f>SUM(K28:K29)</f>
        <v>1373153</v>
      </c>
      <c r="L30" s="156">
        <f>SUM(L28:L29)</f>
        <v>2020634</v>
      </c>
      <c r="M30" s="157">
        <v>15000</v>
      </c>
      <c r="N30" s="158"/>
      <c r="O30" s="67"/>
    </row>
    <row r="31" spans="2:22" ht="94.5" customHeight="1" x14ac:dyDescent="0.35">
      <c r="B31" s="69"/>
      <c r="C31" s="71"/>
      <c r="D31" s="71"/>
      <c r="E31" s="71"/>
      <c r="F31" s="623" t="s">
        <v>863</v>
      </c>
      <c r="G31" s="159" t="s">
        <v>907</v>
      </c>
      <c r="H31" s="160" t="s">
        <v>674</v>
      </c>
      <c r="I31" s="160">
        <f>1101600/59.9993</f>
        <v>18360.214202499028</v>
      </c>
      <c r="J31" s="148">
        <v>1101600</v>
      </c>
      <c r="K31" s="161">
        <v>914058</v>
      </c>
      <c r="L31" s="150">
        <f>911868+2190+16915+2227</f>
        <v>933200</v>
      </c>
      <c r="M31" s="151">
        <v>1041.9000000000001</v>
      </c>
      <c r="N31" s="162">
        <v>43100</v>
      </c>
      <c r="O31" s="67"/>
    </row>
    <row r="32" spans="2:22" ht="78" customHeight="1" x14ac:dyDescent="0.35">
      <c r="B32" s="69"/>
      <c r="C32" s="71"/>
      <c r="D32" s="71"/>
      <c r="E32" s="71"/>
      <c r="F32" s="624"/>
      <c r="G32" s="163" t="s">
        <v>908</v>
      </c>
      <c r="H32" s="160" t="s">
        <v>784</v>
      </c>
      <c r="I32" s="160">
        <f>418320/59.9993</f>
        <v>6972.0813409489783</v>
      </c>
      <c r="J32" s="164">
        <v>418320</v>
      </c>
      <c r="K32" s="165">
        <v>308208</v>
      </c>
      <c r="L32" s="150">
        <f>183408+124800+103000+110620</f>
        <v>521828</v>
      </c>
      <c r="M32" s="151">
        <v>7629.2</v>
      </c>
      <c r="N32" s="162">
        <v>43100</v>
      </c>
      <c r="O32" s="67"/>
    </row>
    <row r="33" spans="2:18" ht="74.25" customHeight="1" x14ac:dyDescent="0.35">
      <c r="B33" s="69"/>
      <c r="C33" s="71"/>
      <c r="D33" s="71"/>
      <c r="E33" s="71"/>
      <c r="F33" s="624"/>
      <c r="G33" s="672" t="s">
        <v>909</v>
      </c>
      <c r="H33" s="160" t="s">
        <v>675</v>
      </c>
      <c r="I33" s="160">
        <f>261180/59.9993</f>
        <v>4353.0507855924989</v>
      </c>
      <c r="J33" s="148">
        <v>261180</v>
      </c>
      <c r="K33" s="165">
        <v>227491</v>
      </c>
      <c r="L33" s="150">
        <f>41370+186121+916</f>
        <v>228407</v>
      </c>
      <c r="M33" s="151">
        <v>0</v>
      </c>
      <c r="N33" s="162"/>
      <c r="O33" s="67"/>
    </row>
    <row r="34" spans="2:18" ht="31" x14ac:dyDescent="0.35">
      <c r="B34" s="69"/>
      <c r="C34" s="71"/>
      <c r="D34" s="71"/>
      <c r="E34" s="71"/>
      <c r="F34" s="625"/>
      <c r="G34" s="673"/>
      <c r="H34" s="160" t="s">
        <v>676</v>
      </c>
      <c r="I34" s="160">
        <f>182400/59.9993</f>
        <v>3040.0354670804495</v>
      </c>
      <c r="J34" s="166">
        <v>182400</v>
      </c>
      <c r="K34" s="149">
        <v>126638</v>
      </c>
      <c r="L34" s="150">
        <f>9216+117422+1080+24082</f>
        <v>151800</v>
      </c>
      <c r="M34" s="151">
        <v>586.66</v>
      </c>
      <c r="N34" s="162">
        <v>43100</v>
      </c>
      <c r="O34" s="67"/>
    </row>
    <row r="35" spans="2:18" ht="15" x14ac:dyDescent="0.35">
      <c r="B35" s="69"/>
      <c r="C35" s="71"/>
      <c r="D35" s="71"/>
      <c r="E35" s="71"/>
      <c r="F35" s="113"/>
      <c r="G35" s="113"/>
      <c r="H35" s="167" t="s">
        <v>673</v>
      </c>
      <c r="I35" s="167">
        <f>SUM(I31:I34)</f>
        <v>32725.381796120953</v>
      </c>
      <c r="J35" s="155">
        <v>1963500</v>
      </c>
      <c r="K35" s="156">
        <f>SUM(K31:K34)</f>
        <v>1576395</v>
      </c>
      <c r="L35" s="156">
        <f>SUM(L31:L34)</f>
        <v>1835235</v>
      </c>
      <c r="M35" s="157">
        <v>9257.76</v>
      </c>
      <c r="N35" s="168"/>
      <c r="O35" s="67"/>
    </row>
    <row r="36" spans="2:18" ht="29.25" customHeight="1" x14ac:dyDescent="0.35">
      <c r="B36" s="69"/>
      <c r="C36" s="71"/>
      <c r="D36" s="71"/>
      <c r="E36" s="71"/>
      <c r="F36" s="635" t="s">
        <v>875</v>
      </c>
      <c r="G36" s="638" t="s">
        <v>910</v>
      </c>
      <c r="H36" s="160" t="s">
        <v>677</v>
      </c>
      <c r="I36" s="160">
        <f>2399940/59.9993</f>
        <v>39999.46666044437</v>
      </c>
      <c r="J36" s="148">
        <v>2399940</v>
      </c>
      <c r="K36" s="165">
        <v>1402124</v>
      </c>
      <c r="L36" s="150">
        <f>23500+1378624+344499+104374</f>
        <v>1850997</v>
      </c>
      <c r="M36" s="151">
        <v>226661</v>
      </c>
      <c r="N36" s="162">
        <v>43100</v>
      </c>
      <c r="O36" s="67"/>
    </row>
    <row r="37" spans="2:18" ht="105" customHeight="1" x14ac:dyDescent="0.35">
      <c r="B37" s="69"/>
      <c r="C37" s="71"/>
      <c r="D37" s="71"/>
      <c r="E37" s="71"/>
      <c r="F37" s="636"/>
      <c r="G37" s="639"/>
      <c r="H37" s="160" t="s">
        <v>678</v>
      </c>
      <c r="I37" s="160">
        <f>240000/59.9993</f>
        <v>4000.0466672111174</v>
      </c>
      <c r="J37" s="169">
        <v>240000</v>
      </c>
      <c r="K37" s="165">
        <v>76481</v>
      </c>
      <c r="L37" s="150">
        <f>4175+72306+135129+150902</f>
        <v>362512</v>
      </c>
      <c r="M37" s="151">
        <v>20000</v>
      </c>
      <c r="N37" s="162">
        <v>43100</v>
      </c>
      <c r="O37" s="67"/>
      <c r="R37" s="170">
        <f>SUM(K40,K49,K53,K58)</f>
        <v>6536529</v>
      </c>
    </row>
    <row r="38" spans="2:18" x14ac:dyDescent="0.35">
      <c r="B38" s="69"/>
      <c r="C38" s="71"/>
      <c r="D38" s="71"/>
      <c r="E38" s="71"/>
      <c r="F38" s="636"/>
      <c r="G38" s="639"/>
      <c r="H38" s="160" t="s">
        <v>679</v>
      </c>
      <c r="I38" s="160">
        <f>601920/59.9993</f>
        <v>10032.117041365484</v>
      </c>
      <c r="J38" s="169">
        <v>601920</v>
      </c>
      <c r="K38" s="143">
        <f>403946-14000.5</f>
        <v>389945.5</v>
      </c>
      <c r="L38" s="150">
        <f>336771+67175+115177+756053</f>
        <v>1275176</v>
      </c>
      <c r="M38" s="151">
        <v>50160</v>
      </c>
      <c r="N38" s="162">
        <v>43100</v>
      </c>
      <c r="O38" s="67"/>
    </row>
    <row r="39" spans="2:18" x14ac:dyDescent="0.35">
      <c r="B39" s="69"/>
      <c r="C39" s="71"/>
      <c r="D39" s="71"/>
      <c r="E39" s="71"/>
      <c r="F39" s="636"/>
      <c r="G39" s="640"/>
      <c r="H39" s="171" t="s">
        <v>680</v>
      </c>
      <c r="I39" s="160">
        <f>400050/59.9993</f>
        <v>6667.5777884075314</v>
      </c>
      <c r="J39" s="148">
        <v>400050</v>
      </c>
      <c r="K39" s="149">
        <v>2670</v>
      </c>
      <c r="L39" s="150">
        <v>2670</v>
      </c>
      <c r="M39" s="151">
        <v>6667.5</v>
      </c>
      <c r="N39" s="162">
        <v>43100</v>
      </c>
      <c r="O39" s="67"/>
    </row>
    <row r="40" spans="2:18" x14ac:dyDescent="0.35">
      <c r="B40" s="69"/>
      <c r="C40" s="71"/>
      <c r="D40" s="71"/>
      <c r="E40" s="71"/>
      <c r="F40" s="636"/>
      <c r="G40" s="172"/>
      <c r="H40" s="173" t="s">
        <v>673</v>
      </c>
      <c r="I40" s="173">
        <f>SUM(I36:I39)</f>
        <v>60699.208157428497</v>
      </c>
      <c r="J40" s="155">
        <v>3641910</v>
      </c>
      <c r="K40" s="174">
        <f>SUM(K36:K39)</f>
        <v>1871220.5</v>
      </c>
      <c r="L40" s="174">
        <f>SUM(L36:L39)</f>
        <v>3491355</v>
      </c>
      <c r="M40" s="157">
        <v>303488.5</v>
      </c>
      <c r="N40" s="158"/>
      <c r="O40" s="67"/>
    </row>
    <row r="41" spans="2:18" ht="135" customHeight="1" x14ac:dyDescent="0.35">
      <c r="B41" s="69"/>
      <c r="C41" s="71"/>
      <c r="D41" s="71"/>
      <c r="E41" s="71"/>
      <c r="F41" s="636"/>
      <c r="G41" s="626" t="s">
        <v>911</v>
      </c>
      <c r="H41" s="175" t="s">
        <v>792</v>
      </c>
      <c r="I41" s="175">
        <f>379140/59.9993</f>
        <v>6319.073722526763</v>
      </c>
      <c r="J41" s="148">
        <v>379140</v>
      </c>
      <c r="K41" s="176">
        <v>136393.5</v>
      </c>
      <c r="L41" s="150">
        <f>3140+133253.5+47952</f>
        <v>184345.5</v>
      </c>
      <c r="M41" s="177">
        <v>9478.5</v>
      </c>
      <c r="N41" s="162">
        <v>43100</v>
      </c>
      <c r="O41" s="67"/>
      <c r="R41" s="178">
        <f>R37-6536529</f>
        <v>0</v>
      </c>
    </row>
    <row r="42" spans="2:18" x14ac:dyDescent="0.35">
      <c r="B42" s="69"/>
      <c r="C42" s="71"/>
      <c r="D42" s="71"/>
      <c r="E42" s="71"/>
      <c r="F42" s="636"/>
      <c r="G42" s="627"/>
      <c r="H42" s="179" t="s">
        <v>681</v>
      </c>
      <c r="I42" s="175">
        <f>600800/59.9993</f>
        <v>10013.450156918498</v>
      </c>
      <c r="J42" s="180">
        <v>600800</v>
      </c>
      <c r="K42" s="176">
        <v>130430</v>
      </c>
      <c r="L42" s="150">
        <f>11750+118680+6665+6581</f>
        <v>143676</v>
      </c>
      <c r="M42" s="151">
        <v>20026.66</v>
      </c>
      <c r="N42" s="162">
        <v>43100</v>
      </c>
      <c r="O42" s="67"/>
    </row>
    <row r="43" spans="2:18" x14ac:dyDescent="0.35">
      <c r="B43" s="69"/>
      <c r="C43" s="71"/>
      <c r="D43" s="71"/>
      <c r="E43" s="71"/>
      <c r="F43" s="636"/>
      <c r="G43" s="627"/>
      <c r="H43" s="179" t="s">
        <v>682</v>
      </c>
      <c r="I43" s="175">
        <f>1050000/59.9993</f>
        <v>17500.20416904864</v>
      </c>
      <c r="J43" s="148">
        <v>1050000</v>
      </c>
      <c r="K43" s="176">
        <v>1064602</v>
      </c>
      <c r="L43" s="150">
        <f>533232.5+531369+124330+751083</f>
        <v>1940014.5</v>
      </c>
      <c r="M43" s="151">
        <v>70000</v>
      </c>
      <c r="N43" s="162">
        <v>43100</v>
      </c>
      <c r="O43" s="67"/>
    </row>
    <row r="44" spans="2:18" ht="31" x14ac:dyDescent="0.35">
      <c r="B44" s="69"/>
      <c r="C44" s="71"/>
      <c r="D44" s="71"/>
      <c r="E44" s="71"/>
      <c r="F44" s="636"/>
      <c r="G44" s="627"/>
      <c r="H44" s="179" t="s">
        <v>683</v>
      </c>
      <c r="I44" s="175">
        <f>1608000/59.9993</f>
        <v>26800.312670314488</v>
      </c>
      <c r="J44" s="169">
        <v>1608000</v>
      </c>
      <c r="K44" s="176">
        <v>883645</v>
      </c>
      <c r="L44" s="150">
        <f>883645+89605+189986</f>
        <v>1163236</v>
      </c>
      <c r="M44" s="151">
        <v>58558</v>
      </c>
      <c r="N44" s="162">
        <v>43100</v>
      </c>
      <c r="O44" s="67"/>
    </row>
    <row r="45" spans="2:18" ht="31" x14ac:dyDescent="0.35">
      <c r="B45" s="69"/>
      <c r="C45" s="71"/>
      <c r="D45" s="71"/>
      <c r="E45" s="71"/>
      <c r="F45" s="636"/>
      <c r="G45" s="627"/>
      <c r="H45" s="181" t="s">
        <v>785</v>
      </c>
      <c r="I45" s="175">
        <f>1712600/59.9993</f>
        <v>28543.666342773999</v>
      </c>
      <c r="J45" s="164">
        <v>1712600</v>
      </c>
      <c r="K45" s="176">
        <v>617396</v>
      </c>
      <c r="L45" s="150">
        <f>5170+612226+129316+34129</f>
        <v>780841</v>
      </c>
      <c r="M45" s="151">
        <v>71358.33</v>
      </c>
      <c r="N45" s="162">
        <v>43100</v>
      </c>
      <c r="O45" s="67"/>
    </row>
    <row r="46" spans="2:18" x14ac:dyDescent="0.35">
      <c r="B46" s="69"/>
      <c r="C46" s="71"/>
      <c r="D46" s="71"/>
      <c r="E46" s="71"/>
      <c r="F46" s="636"/>
      <c r="G46" s="627"/>
      <c r="H46" s="179" t="s">
        <v>684</v>
      </c>
      <c r="I46" s="175">
        <f>0/59.9993</f>
        <v>0</v>
      </c>
      <c r="J46" s="148">
        <v>0</v>
      </c>
      <c r="K46" s="176">
        <v>0</v>
      </c>
      <c r="L46" s="182">
        <v>0</v>
      </c>
      <c r="M46" s="151">
        <v>22026</v>
      </c>
      <c r="N46" s="162">
        <v>43100</v>
      </c>
      <c r="O46" s="67"/>
    </row>
    <row r="47" spans="2:18" ht="31" x14ac:dyDescent="0.35">
      <c r="B47" s="69"/>
      <c r="C47" s="71"/>
      <c r="D47" s="71"/>
      <c r="E47" s="71"/>
      <c r="F47" s="636"/>
      <c r="G47" s="627"/>
      <c r="H47" s="179" t="s">
        <v>786</v>
      </c>
      <c r="I47" s="175">
        <f>911340/59.9993</f>
        <v>15189.177207067416</v>
      </c>
      <c r="J47" s="169">
        <v>911340</v>
      </c>
      <c r="K47" s="149">
        <v>603216</v>
      </c>
      <c r="L47" s="150">
        <f>40130+563086+33310+318050</f>
        <v>954576</v>
      </c>
      <c r="M47" s="151">
        <v>60341</v>
      </c>
      <c r="N47" s="162">
        <v>43100</v>
      </c>
      <c r="O47" s="67"/>
    </row>
    <row r="48" spans="2:18" x14ac:dyDescent="0.35">
      <c r="B48" s="69"/>
      <c r="C48" s="71"/>
      <c r="D48" s="71"/>
      <c r="E48" s="71"/>
      <c r="F48" s="636"/>
      <c r="G48" s="628"/>
      <c r="H48" s="179" t="s">
        <v>437</v>
      </c>
      <c r="I48" s="175">
        <f>45540/59.9993</f>
        <v>759.00885510330954</v>
      </c>
      <c r="J48" s="169">
        <v>45540</v>
      </c>
      <c r="K48" s="183">
        <v>7360</v>
      </c>
      <c r="L48" s="150">
        <f>7360+8601+164153</f>
        <v>180114</v>
      </c>
      <c r="M48" s="151">
        <v>6600</v>
      </c>
      <c r="N48" s="162">
        <v>43100</v>
      </c>
      <c r="O48" s="67"/>
    </row>
    <row r="49" spans="2:20" x14ac:dyDescent="0.35">
      <c r="B49" s="69"/>
      <c r="C49" s="71"/>
      <c r="D49" s="71"/>
      <c r="E49" s="71"/>
      <c r="F49" s="636"/>
      <c r="G49" s="172"/>
      <c r="H49" s="167" t="s">
        <v>673</v>
      </c>
      <c r="I49" s="184">
        <f>SUM(I41:I48)</f>
        <v>105124.89312375312</v>
      </c>
      <c r="J49" s="155">
        <v>6307420</v>
      </c>
      <c r="K49" s="174">
        <f>SUM(K41:K48)</f>
        <v>3443042.5</v>
      </c>
      <c r="L49" s="174">
        <f>SUM(L41:L48)</f>
        <v>5346803</v>
      </c>
      <c r="M49" s="157">
        <v>318388.5</v>
      </c>
      <c r="N49" s="158"/>
      <c r="O49" s="67"/>
    </row>
    <row r="50" spans="2:20" ht="60" customHeight="1" x14ac:dyDescent="0.35">
      <c r="B50" s="69"/>
      <c r="C50" s="71"/>
      <c r="D50" s="71"/>
      <c r="E50" s="71"/>
      <c r="F50" s="636"/>
      <c r="G50" s="626" t="s">
        <v>726</v>
      </c>
      <c r="H50" s="185" t="s">
        <v>685</v>
      </c>
      <c r="I50" s="186">
        <f>90000/59.9993</f>
        <v>1500.0175002041692</v>
      </c>
      <c r="J50" s="169">
        <v>90000</v>
      </c>
      <c r="K50" s="149">
        <v>82300</v>
      </c>
      <c r="L50" s="150">
        <v>82300</v>
      </c>
      <c r="M50" s="177">
        <v>10000</v>
      </c>
      <c r="N50" s="162">
        <v>43100</v>
      </c>
      <c r="O50" s="67"/>
    </row>
    <row r="51" spans="2:20" x14ac:dyDescent="0.35">
      <c r="B51" s="69"/>
      <c r="C51" s="71"/>
      <c r="D51" s="71"/>
      <c r="E51" s="71"/>
      <c r="F51" s="636"/>
      <c r="G51" s="627"/>
      <c r="H51" s="185" t="s">
        <v>686</v>
      </c>
      <c r="I51" s="186">
        <f>0/59.9993</f>
        <v>0</v>
      </c>
      <c r="J51" s="148">
        <v>0</v>
      </c>
      <c r="K51" s="187">
        <v>0</v>
      </c>
      <c r="L51" s="188">
        <v>0</v>
      </c>
      <c r="M51" s="177">
        <v>1666</v>
      </c>
      <c r="N51" s="162">
        <v>43100</v>
      </c>
      <c r="O51" s="67"/>
    </row>
    <row r="52" spans="2:20" x14ac:dyDescent="0.35">
      <c r="B52" s="69"/>
      <c r="C52" s="71"/>
      <c r="D52" s="71"/>
      <c r="E52" s="71"/>
      <c r="F52" s="636"/>
      <c r="G52" s="628"/>
      <c r="H52" s="185" t="s">
        <v>687</v>
      </c>
      <c r="I52" s="186">
        <f>49980/59.9993</f>
        <v>833.00971844671528</v>
      </c>
      <c r="J52" s="148">
        <v>49980</v>
      </c>
      <c r="K52" s="187">
        <v>0</v>
      </c>
      <c r="L52" s="150">
        <f>6534+14748</f>
        <v>21282</v>
      </c>
      <c r="M52" s="177">
        <v>1666</v>
      </c>
      <c r="N52" s="162">
        <v>43100</v>
      </c>
      <c r="O52" s="67"/>
    </row>
    <row r="53" spans="2:20" x14ac:dyDescent="0.35">
      <c r="B53" s="69"/>
      <c r="C53" s="71"/>
      <c r="D53" s="71"/>
      <c r="E53" s="71"/>
      <c r="F53" s="636"/>
      <c r="G53" s="172"/>
      <c r="H53" s="189" t="s">
        <v>673</v>
      </c>
      <c r="I53" s="190">
        <f>SUM(I50:I52)</f>
        <v>2333.0272186508846</v>
      </c>
      <c r="J53" s="157">
        <v>139980</v>
      </c>
      <c r="K53" s="174">
        <f>SUM(K50:K52)</f>
        <v>82300</v>
      </c>
      <c r="L53" s="174">
        <f>SUM(L50:L52)</f>
        <v>103582</v>
      </c>
      <c r="M53" s="191">
        <v>13332</v>
      </c>
      <c r="N53" s="158"/>
      <c r="O53" s="67"/>
    </row>
    <row r="54" spans="2:20" ht="60" customHeight="1" x14ac:dyDescent="0.35">
      <c r="B54" s="69"/>
      <c r="C54" s="71"/>
      <c r="D54" s="71"/>
      <c r="E54" s="71"/>
      <c r="F54" s="636"/>
      <c r="G54" s="626" t="s">
        <v>852</v>
      </c>
      <c r="H54" s="192" t="s">
        <v>688</v>
      </c>
      <c r="I54" s="193">
        <f>436500/59.9993</f>
        <v>7275.0848759902201</v>
      </c>
      <c r="J54" s="169">
        <v>436500</v>
      </c>
      <c r="K54" s="176">
        <v>512549</v>
      </c>
      <c r="L54" s="150">
        <f>83661+428888+21300+29000</f>
        <v>562849</v>
      </c>
      <c r="M54" s="177">
        <v>22500</v>
      </c>
      <c r="N54" s="162">
        <v>43100</v>
      </c>
      <c r="O54" s="67"/>
      <c r="T54" s="3">
        <f>201014.18-165013.7585</f>
        <v>36000.421499999997</v>
      </c>
    </row>
    <row r="55" spans="2:20" x14ac:dyDescent="0.35">
      <c r="B55" s="69"/>
      <c r="C55" s="71"/>
      <c r="D55" s="71"/>
      <c r="E55" s="71"/>
      <c r="F55" s="636"/>
      <c r="G55" s="627"/>
      <c r="H55" s="192" t="s">
        <v>689</v>
      </c>
      <c r="I55" s="193">
        <f>585900/59.9993</f>
        <v>9765.1139263291407</v>
      </c>
      <c r="J55" s="169">
        <v>585900</v>
      </c>
      <c r="K55" s="176">
        <v>395917</v>
      </c>
      <c r="L55" s="150">
        <f>395917+33120+7930</f>
        <v>436967</v>
      </c>
      <c r="M55" s="177">
        <v>16275</v>
      </c>
      <c r="N55" s="162">
        <v>43100</v>
      </c>
      <c r="O55" s="67"/>
    </row>
    <row r="56" spans="2:20" x14ac:dyDescent="0.35">
      <c r="B56" s="69"/>
      <c r="C56" s="71"/>
      <c r="D56" s="71"/>
      <c r="E56" s="71"/>
      <c r="F56" s="636"/>
      <c r="G56" s="627"/>
      <c r="H56" s="192" t="s">
        <v>690</v>
      </c>
      <c r="I56" s="193">
        <f>408000/59.9993</f>
        <v>6800.0793342588995</v>
      </c>
      <c r="J56" s="148">
        <v>408000</v>
      </c>
      <c r="K56" s="149">
        <v>231500</v>
      </c>
      <c r="L56" s="150">
        <f>231500+20360+37215</f>
        <v>289075</v>
      </c>
      <c r="M56" s="177">
        <v>15300</v>
      </c>
      <c r="N56" s="162">
        <v>43100</v>
      </c>
      <c r="O56" s="67"/>
    </row>
    <row r="57" spans="2:20" ht="31" x14ac:dyDescent="0.35">
      <c r="B57" s="69"/>
      <c r="C57" s="71"/>
      <c r="D57" s="71"/>
      <c r="E57" s="71"/>
      <c r="F57" s="637"/>
      <c r="G57" s="628"/>
      <c r="H57" s="192" t="s">
        <v>691</v>
      </c>
      <c r="I57" s="193">
        <f>541000/59.9993</f>
        <v>9016.7718623383935</v>
      </c>
      <c r="J57" s="148">
        <v>541000</v>
      </c>
      <c r="K57" s="187">
        <v>0</v>
      </c>
      <c r="L57" s="188">
        <v>0</v>
      </c>
      <c r="M57" s="177">
        <v>18033.330000000002</v>
      </c>
      <c r="N57" s="162">
        <v>43100</v>
      </c>
      <c r="O57" s="67"/>
      <c r="T57" s="3">
        <f>12059910/59.9993</f>
        <v>201000.84500985846</v>
      </c>
    </row>
    <row r="58" spans="2:20" ht="15" x14ac:dyDescent="0.35">
      <c r="B58" s="69"/>
      <c r="C58" s="71"/>
      <c r="D58" s="71"/>
      <c r="E58" s="71"/>
      <c r="F58" s="113"/>
      <c r="G58" s="113"/>
      <c r="H58" s="194" t="s">
        <v>673</v>
      </c>
      <c r="I58" s="195">
        <f>SUM(I54:I57)</f>
        <v>32857.049998916656</v>
      </c>
      <c r="J58" s="196">
        <v>1971400</v>
      </c>
      <c r="K58" s="197">
        <f>SUM(K54:K57)</f>
        <v>1139966</v>
      </c>
      <c r="L58" s="197">
        <f>SUM(L54:L57)</f>
        <v>1288891</v>
      </c>
      <c r="M58" s="198">
        <v>72108.33</v>
      </c>
      <c r="N58" s="152"/>
      <c r="O58" s="67"/>
    </row>
    <row r="59" spans="2:20" ht="15" x14ac:dyDescent="0.35">
      <c r="B59" s="69"/>
      <c r="C59" s="71"/>
      <c r="D59" s="71"/>
      <c r="E59" s="71"/>
      <c r="F59" s="199"/>
      <c r="G59" s="617" t="s">
        <v>956</v>
      </c>
      <c r="H59" s="618"/>
      <c r="I59" s="200">
        <f>SUM(I40,I49,I53,I58)</f>
        <v>201014.17849874916</v>
      </c>
      <c r="J59" s="155"/>
      <c r="K59" s="174">
        <f>SUM(K40,K49,K53,K58)</f>
        <v>6536529</v>
      </c>
      <c r="L59" s="174"/>
      <c r="M59" s="191"/>
      <c r="N59" s="158"/>
      <c r="O59" s="67"/>
    </row>
    <row r="60" spans="2:20" ht="32.25" customHeight="1" x14ac:dyDescent="0.35">
      <c r="B60" s="69"/>
      <c r="C60" s="71"/>
      <c r="D60" s="71"/>
      <c r="E60" s="71"/>
      <c r="F60" s="632" t="s">
        <v>731</v>
      </c>
      <c r="G60" s="626" t="s">
        <v>912</v>
      </c>
      <c r="H60" s="201" t="s">
        <v>692</v>
      </c>
      <c r="I60" s="201">
        <f>80000/59.9993</f>
        <v>1333.3488890703725</v>
      </c>
      <c r="J60" s="202">
        <v>80000</v>
      </c>
      <c r="K60" s="203">
        <v>0</v>
      </c>
      <c r="L60" s="150">
        <v>174</v>
      </c>
      <c r="M60" s="177">
        <v>1333.33</v>
      </c>
      <c r="N60" s="162">
        <v>43100</v>
      </c>
      <c r="O60" s="67"/>
    </row>
    <row r="61" spans="2:20" ht="63.75" customHeight="1" x14ac:dyDescent="0.35">
      <c r="B61" s="69"/>
      <c r="C61" s="71"/>
      <c r="D61" s="71"/>
      <c r="E61" s="71"/>
      <c r="F61" s="633"/>
      <c r="G61" s="627"/>
      <c r="H61" s="201" t="s">
        <v>693</v>
      </c>
      <c r="I61" s="201">
        <f>0/59.9993</f>
        <v>0</v>
      </c>
      <c r="J61" s="202">
        <v>0</v>
      </c>
      <c r="K61" s="203">
        <v>0</v>
      </c>
      <c r="L61" s="204"/>
      <c r="M61" s="177">
        <v>0</v>
      </c>
      <c r="N61" s="162">
        <v>43100</v>
      </c>
      <c r="O61" s="67"/>
    </row>
    <row r="62" spans="2:20" ht="36" customHeight="1" x14ac:dyDescent="0.35">
      <c r="B62" s="69"/>
      <c r="C62" s="71"/>
      <c r="D62" s="71"/>
      <c r="E62" s="71"/>
      <c r="F62" s="633"/>
      <c r="G62" s="205"/>
      <c r="H62" s="206" t="s">
        <v>673</v>
      </c>
      <c r="I62" s="206">
        <f>SUM(I60:I61)</f>
        <v>1333.3488890703725</v>
      </c>
      <c r="J62" s="207">
        <v>80000</v>
      </c>
      <c r="K62" s="208">
        <f t="shared" ref="K62" si="1">SUM(K60:K61)</f>
        <v>0</v>
      </c>
      <c r="L62" s="208">
        <f>SUM(L60:L61)</f>
        <v>174</v>
      </c>
      <c r="M62" s="198">
        <v>1333.33</v>
      </c>
      <c r="N62" s="152"/>
      <c r="O62" s="67"/>
    </row>
    <row r="63" spans="2:20" ht="60" customHeight="1" x14ac:dyDescent="0.35">
      <c r="B63" s="69"/>
      <c r="C63" s="71"/>
      <c r="D63" s="71"/>
      <c r="E63" s="71"/>
      <c r="F63" s="633"/>
      <c r="G63" s="626" t="s">
        <v>968</v>
      </c>
      <c r="H63" s="160" t="s">
        <v>694</v>
      </c>
      <c r="I63" s="160">
        <f>249900/59.9993</f>
        <v>4165.0485922335765</v>
      </c>
      <c r="J63" s="148">
        <v>249900</v>
      </c>
      <c r="K63" s="187">
        <f>100000+31335</f>
        <v>131335</v>
      </c>
      <c r="L63" s="150">
        <v>100000</v>
      </c>
      <c r="M63" s="151">
        <v>0</v>
      </c>
      <c r="N63" s="152"/>
      <c r="O63" s="67"/>
      <c r="R63" s="3">
        <f>SUM(K62,K68,K74)</f>
        <v>1011254.5</v>
      </c>
    </row>
    <row r="64" spans="2:20" ht="31" x14ac:dyDescent="0.35">
      <c r="B64" s="69"/>
      <c r="C64" s="71"/>
      <c r="D64" s="71"/>
      <c r="E64" s="71"/>
      <c r="F64" s="633"/>
      <c r="G64" s="627"/>
      <c r="H64" s="209" t="s">
        <v>787</v>
      </c>
      <c r="I64" s="160">
        <f>175000/59.9993</f>
        <v>2916.7006948414401</v>
      </c>
      <c r="J64" s="164">
        <v>175000</v>
      </c>
      <c r="K64" s="176">
        <v>173593</v>
      </c>
      <c r="L64" s="150">
        <f>128593+45000+45170+45000</f>
        <v>263763</v>
      </c>
      <c r="M64" s="151">
        <v>2211.96</v>
      </c>
      <c r="N64" s="162">
        <v>43100</v>
      </c>
      <c r="O64" s="67"/>
    </row>
    <row r="65" spans="2:18" ht="31" x14ac:dyDescent="0.35">
      <c r="B65" s="69"/>
      <c r="C65" s="71"/>
      <c r="D65" s="71"/>
      <c r="E65" s="71"/>
      <c r="F65" s="633"/>
      <c r="G65" s="627"/>
      <c r="H65" s="201" t="s">
        <v>788</v>
      </c>
      <c r="I65" s="160">
        <f>180000/59.9993</f>
        <v>3000.0350004083384</v>
      </c>
      <c r="J65" s="164">
        <v>180000</v>
      </c>
      <c r="K65" s="176">
        <v>150864</v>
      </c>
      <c r="L65" s="150">
        <f>104364+46500+42000+43017</f>
        <v>235881</v>
      </c>
      <c r="M65" s="151">
        <v>3000</v>
      </c>
      <c r="N65" s="162">
        <v>43100</v>
      </c>
      <c r="O65" s="67"/>
      <c r="R65" s="3">
        <f>1011254.5-R63</f>
        <v>0</v>
      </c>
    </row>
    <row r="66" spans="2:18" x14ac:dyDescent="0.35">
      <c r="B66" s="69"/>
      <c r="C66" s="71"/>
      <c r="D66" s="71"/>
      <c r="E66" s="71"/>
      <c r="F66" s="633"/>
      <c r="G66" s="627"/>
      <c r="H66" s="160" t="s">
        <v>695</v>
      </c>
      <c r="I66" s="160">
        <f>420000/59.9993</f>
        <v>7000.0816676194554</v>
      </c>
      <c r="J66" s="148">
        <v>420000</v>
      </c>
      <c r="K66" s="176">
        <v>18714.5</v>
      </c>
      <c r="L66" s="150">
        <f>18714.5+487093+11637</f>
        <v>517444.5</v>
      </c>
      <c r="M66" s="151">
        <v>7000</v>
      </c>
      <c r="N66" s="162">
        <v>43100</v>
      </c>
      <c r="O66" s="67"/>
    </row>
    <row r="67" spans="2:18" x14ac:dyDescent="0.35">
      <c r="B67" s="69"/>
      <c r="C67" s="71"/>
      <c r="D67" s="71"/>
      <c r="E67" s="71"/>
      <c r="F67" s="633"/>
      <c r="G67" s="628"/>
      <c r="H67" s="210" t="s">
        <v>696</v>
      </c>
      <c r="I67" s="160">
        <f>285000/59.9993</f>
        <v>4750.0554173132023</v>
      </c>
      <c r="J67" s="211">
        <v>285000</v>
      </c>
      <c r="K67" s="149">
        <v>304713</v>
      </c>
      <c r="L67" s="150">
        <f>301764+2949+24263+25174</f>
        <v>354150</v>
      </c>
      <c r="M67" s="151">
        <v>7125</v>
      </c>
      <c r="N67" s="162">
        <v>43100</v>
      </c>
      <c r="O67" s="67"/>
    </row>
    <row r="68" spans="2:18" x14ac:dyDescent="0.35">
      <c r="B68" s="69"/>
      <c r="C68" s="71"/>
      <c r="D68" s="71"/>
      <c r="E68" s="71"/>
      <c r="F68" s="633"/>
      <c r="G68" s="114"/>
      <c r="H68" s="212" t="s">
        <v>673</v>
      </c>
      <c r="I68" s="212">
        <f>SUM(I63:I67)</f>
        <v>21831.921372416014</v>
      </c>
      <c r="J68" s="196">
        <v>1309900</v>
      </c>
      <c r="K68" s="213">
        <f>SUM(K63:K67)</f>
        <v>779219.5</v>
      </c>
      <c r="L68" s="213">
        <f>SUM(L63:L67)</f>
        <v>1471238.5</v>
      </c>
      <c r="M68" s="214">
        <v>19336.96</v>
      </c>
      <c r="N68" s="152"/>
      <c r="O68" s="67"/>
    </row>
    <row r="69" spans="2:18" ht="90" customHeight="1" x14ac:dyDescent="0.35">
      <c r="B69" s="69"/>
      <c r="C69" s="71"/>
      <c r="D69" s="71"/>
      <c r="E69" s="71"/>
      <c r="F69" s="633"/>
      <c r="G69" s="629" t="s">
        <v>913</v>
      </c>
      <c r="H69" s="215" t="s">
        <v>789</v>
      </c>
      <c r="I69" s="215">
        <f>150000/59.9993</f>
        <v>2500.0291670069487</v>
      </c>
      <c r="J69" s="164">
        <v>150000</v>
      </c>
      <c r="K69" s="203">
        <v>0</v>
      </c>
      <c r="L69" s="204"/>
      <c r="M69" s="177">
        <v>2500</v>
      </c>
      <c r="N69" s="162">
        <v>43100</v>
      </c>
      <c r="O69" s="67"/>
      <c r="R69" s="3">
        <f>1011254.5-R63</f>
        <v>0</v>
      </c>
    </row>
    <row r="70" spans="2:18" x14ac:dyDescent="0.35">
      <c r="B70" s="69"/>
      <c r="C70" s="71"/>
      <c r="D70" s="71"/>
      <c r="E70" s="71"/>
      <c r="F70" s="633"/>
      <c r="G70" s="630"/>
      <c r="H70" s="216" t="s">
        <v>697</v>
      </c>
      <c r="I70" s="215">
        <f>46080/59.9993</f>
        <v>768.00896010453459</v>
      </c>
      <c r="J70" s="169">
        <v>46080</v>
      </c>
      <c r="K70" s="176">
        <v>19381</v>
      </c>
      <c r="L70" s="150">
        <f>16721+2660+12533+8829</f>
        <v>40743</v>
      </c>
      <c r="M70" s="177">
        <v>5120</v>
      </c>
      <c r="N70" s="162">
        <v>43100</v>
      </c>
      <c r="O70" s="67"/>
    </row>
    <row r="71" spans="2:18" x14ac:dyDescent="0.35">
      <c r="B71" s="69"/>
      <c r="C71" s="71"/>
      <c r="D71" s="71"/>
      <c r="E71" s="71"/>
      <c r="F71" s="633"/>
      <c r="G71" s="630"/>
      <c r="H71" s="216" t="s">
        <v>698</v>
      </c>
      <c r="I71" s="215">
        <f>210000/59.9993</f>
        <v>3500.0408338097277</v>
      </c>
      <c r="J71" s="148">
        <v>210000</v>
      </c>
      <c r="K71" s="150">
        <v>209098.5</v>
      </c>
      <c r="L71" s="150">
        <v>209098.5</v>
      </c>
      <c r="M71" s="177">
        <v>3500</v>
      </c>
      <c r="N71" s="162">
        <v>43100</v>
      </c>
      <c r="O71" s="67"/>
    </row>
    <row r="72" spans="2:18" x14ac:dyDescent="0.35">
      <c r="B72" s="69"/>
      <c r="C72" s="71"/>
      <c r="D72" s="71"/>
      <c r="E72" s="71"/>
      <c r="F72" s="633"/>
      <c r="G72" s="630"/>
      <c r="H72" s="216" t="s">
        <v>699</v>
      </c>
      <c r="I72" s="215">
        <f>120000/59.9993</f>
        <v>2000.0233336055587</v>
      </c>
      <c r="J72" s="148">
        <v>120000</v>
      </c>
      <c r="K72" s="149">
        <v>3555.5</v>
      </c>
      <c r="L72" s="150">
        <v>3555.5</v>
      </c>
      <c r="M72" s="177">
        <v>2000</v>
      </c>
      <c r="N72" s="162">
        <v>43100</v>
      </c>
      <c r="O72" s="67"/>
    </row>
    <row r="73" spans="2:18" x14ac:dyDescent="0.35">
      <c r="B73" s="69"/>
      <c r="C73" s="71"/>
      <c r="D73" s="71"/>
      <c r="E73" s="71"/>
      <c r="F73" s="634"/>
      <c r="G73" s="631"/>
      <c r="H73" s="216" t="s">
        <v>700</v>
      </c>
      <c r="I73" s="215">
        <f>0/59.9993</f>
        <v>0</v>
      </c>
      <c r="J73" s="148">
        <v>0</v>
      </c>
      <c r="K73" s="187">
        <v>0</v>
      </c>
      <c r="L73" s="150">
        <v>0</v>
      </c>
      <c r="M73" s="177">
        <v>0</v>
      </c>
      <c r="N73" s="152"/>
      <c r="O73" s="67"/>
    </row>
    <row r="74" spans="2:18" ht="15" x14ac:dyDescent="0.35">
      <c r="B74" s="69"/>
      <c r="C74" s="71"/>
      <c r="D74" s="71"/>
      <c r="E74" s="71"/>
      <c r="F74" s="113"/>
      <c r="G74" s="114"/>
      <c r="H74" s="217" t="s">
        <v>673</v>
      </c>
      <c r="I74" s="217">
        <f>SUM(I69:I73)</f>
        <v>8768.1022945267705</v>
      </c>
      <c r="J74" s="196">
        <v>526080</v>
      </c>
      <c r="K74" s="208">
        <f>SUM(K69:K73)</f>
        <v>232035</v>
      </c>
      <c r="L74" s="208">
        <f>SUM(L69:L73)</f>
        <v>253397</v>
      </c>
      <c r="M74" s="198">
        <v>13120</v>
      </c>
      <c r="N74" s="152"/>
      <c r="O74" s="67"/>
    </row>
    <row r="75" spans="2:18" ht="15" x14ac:dyDescent="0.35">
      <c r="B75" s="69"/>
      <c r="C75" s="71"/>
      <c r="D75" s="71"/>
      <c r="E75" s="71"/>
      <c r="F75" s="113"/>
      <c r="G75" s="617" t="s">
        <v>957</v>
      </c>
      <c r="H75" s="618"/>
      <c r="I75" s="218">
        <f>SUM(I62,I68,I74)</f>
        <v>31933.372556013157</v>
      </c>
      <c r="J75" s="155"/>
      <c r="K75" s="219">
        <f>SUM(K62,K68,K74)</f>
        <v>1011254.5</v>
      </c>
      <c r="L75" s="219"/>
      <c r="M75" s="191"/>
      <c r="N75" s="158"/>
      <c r="O75" s="67"/>
    </row>
    <row r="76" spans="2:18" ht="15" x14ac:dyDescent="0.35">
      <c r="B76" s="69"/>
      <c r="C76" s="71"/>
      <c r="D76" s="71"/>
      <c r="E76" s="71"/>
      <c r="F76" s="113"/>
      <c r="G76" s="114"/>
      <c r="H76" s="220" t="s">
        <v>790</v>
      </c>
      <c r="I76" s="220">
        <f>300000/59.9993</f>
        <v>5000.0583340138974</v>
      </c>
      <c r="J76" s="221">
        <v>300000</v>
      </c>
      <c r="K76" s="222">
        <v>254739</v>
      </c>
      <c r="L76" s="150">
        <v>254739</v>
      </c>
      <c r="M76" s="151">
        <v>0</v>
      </c>
      <c r="N76" s="152"/>
      <c r="O76" s="67"/>
    </row>
    <row r="77" spans="2:18" ht="15" x14ac:dyDescent="0.35">
      <c r="B77" s="69"/>
      <c r="C77" s="71"/>
      <c r="D77" s="71"/>
      <c r="E77" s="71"/>
      <c r="F77" s="113"/>
      <c r="G77" s="114"/>
      <c r="H77" s="217" t="s">
        <v>673</v>
      </c>
      <c r="I77" s="217">
        <f>I76</f>
        <v>5000.0583340138974</v>
      </c>
      <c r="J77" s="223">
        <f>SUM(J76)</f>
        <v>300000</v>
      </c>
      <c r="K77" s="224">
        <f t="shared" ref="K77" si="2">SUM(K76)</f>
        <v>254739</v>
      </c>
      <c r="L77" s="224">
        <f>SUM(L76)</f>
        <v>254739</v>
      </c>
      <c r="M77" s="214">
        <v>0</v>
      </c>
      <c r="N77" s="152"/>
      <c r="O77" s="67"/>
    </row>
    <row r="78" spans="2:18" ht="15" x14ac:dyDescent="0.35">
      <c r="B78" s="69"/>
      <c r="C78" s="71"/>
      <c r="D78" s="71"/>
      <c r="E78" s="71"/>
      <c r="F78" s="113"/>
      <c r="G78" s="114"/>
      <c r="H78" s="220" t="s">
        <v>791</v>
      </c>
      <c r="I78" s="220">
        <f>510000/59.9993</f>
        <v>8500.0991678236242</v>
      </c>
      <c r="J78" s="148">
        <v>510000</v>
      </c>
      <c r="K78" s="187">
        <v>384022</v>
      </c>
      <c r="L78" s="150">
        <f>12670+371352+13804+8350</f>
        <v>406176</v>
      </c>
      <c r="M78" s="151">
        <v>0</v>
      </c>
      <c r="N78" s="152"/>
      <c r="O78" s="67"/>
    </row>
    <row r="79" spans="2:18" ht="15" x14ac:dyDescent="0.35">
      <c r="B79" s="69"/>
      <c r="C79" s="71"/>
      <c r="D79" s="71"/>
      <c r="E79" s="71"/>
      <c r="F79" s="113"/>
      <c r="G79" s="114"/>
      <c r="H79" s="217" t="s">
        <v>673</v>
      </c>
      <c r="I79" s="217">
        <f>I78</f>
        <v>8500.0991678236242</v>
      </c>
      <c r="J79" s="196">
        <f>SUM(J78)</f>
        <v>510000</v>
      </c>
      <c r="K79" s="208">
        <f t="shared" ref="K79" si="3">SUM(K78)</f>
        <v>384022</v>
      </c>
      <c r="L79" s="225">
        <f>12670+371352+13804+8350</f>
        <v>406176</v>
      </c>
      <c r="M79" s="214">
        <v>0</v>
      </c>
      <c r="N79" s="152"/>
      <c r="O79" s="67"/>
    </row>
    <row r="80" spans="2:18" ht="30" x14ac:dyDescent="0.35">
      <c r="B80" s="69"/>
      <c r="C80" s="71"/>
      <c r="D80" s="71"/>
      <c r="E80" s="71"/>
      <c r="F80" s="113"/>
      <c r="G80" s="114"/>
      <c r="H80" s="220" t="s">
        <v>701</v>
      </c>
      <c r="I80" s="220">
        <f>360000/59.9993</f>
        <v>6000.0700008166768</v>
      </c>
      <c r="J80" s="148">
        <v>360000</v>
      </c>
      <c r="K80" s="226">
        <v>355562.5</v>
      </c>
      <c r="L80" s="150">
        <f>160779.5+194783+102800+177344</f>
        <v>635706.5</v>
      </c>
      <c r="M80" s="177">
        <v>6000</v>
      </c>
      <c r="N80" s="162">
        <v>43100</v>
      </c>
      <c r="O80" s="67"/>
      <c r="R80" s="170">
        <f>SUM(K77,K79,K81,K83,K90,K92)</f>
        <v>2659249.5</v>
      </c>
    </row>
    <row r="81" spans="2:18" ht="15" x14ac:dyDescent="0.35">
      <c r="B81" s="69"/>
      <c r="C81" s="71"/>
      <c r="D81" s="71"/>
      <c r="E81" s="71"/>
      <c r="F81" s="113"/>
      <c r="G81" s="114"/>
      <c r="H81" s="217" t="s">
        <v>673</v>
      </c>
      <c r="I81" s="217">
        <f>I80</f>
        <v>6000.0700008166768</v>
      </c>
      <c r="J81" s="196">
        <v>360000</v>
      </c>
      <c r="K81" s="227">
        <f>SUM(K80)</f>
        <v>355562.5</v>
      </c>
      <c r="L81" s="227">
        <f>SUM(L80)</f>
        <v>635706.5</v>
      </c>
      <c r="M81" s="214">
        <v>6000</v>
      </c>
      <c r="N81" s="152"/>
      <c r="O81" s="67"/>
    </row>
    <row r="82" spans="2:18" ht="15" x14ac:dyDescent="0.35">
      <c r="B82" s="69"/>
      <c r="C82" s="71"/>
      <c r="D82" s="71"/>
      <c r="E82" s="71"/>
      <c r="F82" s="113"/>
      <c r="G82" s="114"/>
      <c r="H82" s="220" t="s">
        <v>702</v>
      </c>
      <c r="I82" s="220">
        <f>249984/59.9993</f>
        <v>4166.4486085670997</v>
      </c>
      <c r="J82" s="148">
        <v>249984</v>
      </c>
      <c r="K82" s="226">
        <v>167363</v>
      </c>
      <c r="L82" s="150">
        <f>75741+91622+30076+53126</f>
        <v>250565</v>
      </c>
      <c r="M82" s="151">
        <v>4166.3999999999996</v>
      </c>
      <c r="N82" s="162">
        <v>43100</v>
      </c>
      <c r="O82" s="67"/>
    </row>
    <row r="83" spans="2:18" ht="15" x14ac:dyDescent="0.35">
      <c r="B83" s="69"/>
      <c r="C83" s="71"/>
      <c r="D83" s="71"/>
      <c r="E83" s="71"/>
      <c r="F83" s="113"/>
      <c r="G83" s="114"/>
      <c r="H83" s="217" t="s">
        <v>673</v>
      </c>
      <c r="I83" s="217">
        <f>I82</f>
        <v>4166.4486085670997</v>
      </c>
      <c r="J83" s="196">
        <v>249984</v>
      </c>
      <c r="K83" s="208">
        <f>SUM(K82)</f>
        <v>167363</v>
      </c>
      <c r="L83" s="208">
        <f>SUM(L82)</f>
        <v>250565</v>
      </c>
      <c r="M83" s="214">
        <v>4166.3999999999996</v>
      </c>
      <c r="N83" s="152"/>
      <c r="O83" s="67"/>
    </row>
    <row r="84" spans="2:18" ht="15" x14ac:dyDescent="0.35">
      <c r="B84" s="69"/>
      <c r="C84" s="71"/>
      <c r="D84" s="71"/>
      <c r="E84" s="71"/>
      <c r="F84" s="113"/>
      <c r="G84" s="114"/>
      <c r="H84" s="228" t="s">
        <v>703</v>
      </c>
      <c r="I84" s="228">
        <f>30000/59.9993</f>
        <v>500.00583340138968</v>
      </c>
      <c r="J84" s="148">
        <v>30000</v>
      </c>
      <c r="K84" s="187">
        <v>2300</v>
      </c>
      <c r="L84" s="150">
        <v>2300</v>
      </c>
      <c r="M84" s="151">
        <v>0</v>
      </c>
      <c r="N84" s="152"/>
      <c r="O84" s="67"/>
    </row>
    <row r="85" spans="2:18" ht="15" x14ac:dyDescent="0.35">
      <c r="B85" s="69"/>
      <c r="C85" s="71"/>
      <c r="D85" s="71"/>
      <c r="E85" s="71"/>
      <c r="F85" s="113"/>
      <c r="G85" s="114"/>
      <c r="H85" s="228" t="s">
        <v>704</v>
      </c>
      <c r="I85" s="228">
        <f>9000/59.9993</f>
        <v>150.00175002041692</v>
      </c>
      <c r="J85" s="148">
        <v>9000</v>
      </c>
      <c r="K85" s="187">
        <v>0</v>
      </c>
      <c r="L85" s="188">
        <v>0</v>
      </c>
      <c r="M85" s="151">
        <v>0</v>
      </c>
      <c r="N85" s="152"/>
      <c r="O85" s="67"/>
      <c r="R85" s="229">
        <f>R80-2659249.5</f>
        <v>0</v>
      </c>
    </row>
    <row r="86" spans="2:18" ht="30" x14ac:dyDescent="0.35">
      <c r="B86" s="69"/>
      <c r="C86" s="71"/>
      <c r="D86" s="71"/>
      <c r="E86" s="71"/>
      <c r="F86" s="113"/>
      <c r="G86" s="114"/>
      <c r="H86" s="228" t="s">
        <v>705</v>
      </c>
      <c r="I86" s="228">
        <f>58500/59.9993</f>
        <v>975.01137513270987</v>
      </c>
      <c r="J86" s="148">
        <v>58500</v>
      </c>
      <c r="K86" s="187">
        <v>0</v>
      </c>
      <c r="L86" s="150">
        <v>20415</v>
      </c>
      <c r="M86" s="177">
        <v>975</v>
      </c>
      <c r="N86" s="162">
        <v>43100</v>
      </c>
      <c r="O86" s="67"/>
    </row>
    <row r="87" spans="2:18" ht="30" x14ac:dyDescent="0.35">
      <c r="B87" s="69"/>
      <c r="C87" s="71"/>
      <c r="D87" s="71"/>
      <c r="E87" s="71"/>
      <c r="F87" s="113"/>
      <c r="G87" s="114"/>
      <c r="H87" s="228" t="s">
        <v>706</v>
      </c>
      <c r="I87" s="228">
        <f>29999.97/59.9993</f>
        <v>500.00533339555631</v>
      </c>
      <c r="J87" s="148">
        <v>29997</v>
      </c>
      <c r="K87" s="187">
        <f>73980-15580</f>
        <v>58400</v>
      </c>
      <c r="L87" s="150">
        <f>58400+15580+5639</f>
        <v>79619</v>
      </c>
      <c r="M87" s="177">
        <v>666.6</v>
      </c>
      <c r="N87" s="162">
        <v>43100</v>
      </c>
      <c r="O87" s="67"/>
    </row>
    <row r="88" spans="2:18" ht="30" x14ac:dyDescent="0.35">
      <c r="B88" s="69"/>
      <c r="C88" s="71"/>
      <c r="D88" s="71"/>
      <c r="E88" s="71"/>
      <c r="F88" s="113"/>
      <c r="G88" s="114"/>
      <c r="H88" s="228" t="s">
        <v>707</v>
      </c>
      <c r="I88" s="228">
        <f>0/59.9993</f>
        <v>0</v>
      </c>
      <c r="J88" s="193">
        <v>0</v>
      </c>
      <c r="K88" s="187">
        <v>0</v>
      </c>
      <c r="L88" s="188">
        <v>0</v>
      </c>
      <c r="M88" s="151">
        <v>0</v>
      </c>
      <c r="N88" s="152"/>
      <c r="O88" s="67"/>
    </row>
    <row r="89" spans="2:18" ht="15" x14ac:dyDescent="0.35">
      <c r="B89" s="69"/>
      <c r="C89" s="71"/>
      <c r="D89" s="71"/>
      <c r="E89" s="71"/>
      <c r="F89" s="113"/>
      <c r="G89" s="114"/>
      <c r="H89" s="220" t="s">
        <v>845</v>
      </c>
      <c r="I89" s="220">
        <f>0/59.9993</f>
        <v>0</v>
      </c>
      <c r="J89" s="230">
        <v>0</v>
      </c>
      <c r="K89" s="187">
        <v>0</v>
      </c>
      <c r="L89" s="188"/>
      <c r="M89" s="151">
        <v>0</v>
      </c>
      <c r="N89" s="152"/>
      <c r="O89" s="67"/>
    </row>
    <row r="90" spans="2:18" ht="15" x14ac:dyDescent="0.35">
      <c r="B90" s="69"/>
      <c r="C90" s="71"/>
      <c r="D90" s="71"/>
      <c r="E90" s="71"/>
      <c r="F90" s="113"/>
      <c r="G90" s="114"/>
      <c r="H90" s="217" t="s">
        <v>673</v>
      </c>
      <c r="I90" s="217">
        <f>SUM(I84:I89)</f>
        <v>2125.0242919500729</v>
      </c>
      <c r="J90" s="231">
        <v>127497</v>
      </c>
      <c r="K90" s="208">
        <f>SUM(K84:K89)</f>
        <v>60700</v>
      </c>
      <c r="L90" s="208">
        <f>SUM(L84:L89)</f>
        <v>102334</v>
      </c>
      <c r="M90" s="214">
        <v>1641.6</v>
      </c>
      <c r="N90" s="152"/>
      <c r="O90" s="67"/>
    </row>
    <row r="91" spans="2:18" ht="15" x14ac:dyDescent="0.35">
      <c r="B91" s="69"/>
      <c r="C91" s="71"/>
      <c r="D91" s="71"/>
      <c r="E91" s="71"/>
      <c r="F91" s="113"/>
      <c r="G91" s="114"/>
      <c r="H91" s="220" t="s">
        <v>708</v>
      </c>
      <c r="I91" s="220">
        <f>1971696/59.9993</f>
        <v>32861.983389806213</v>
      </c>
      <c r="J91" s="148">
        <v>1971696</v>
      </c>
      <c r="K91" s="226">
        <v>1436863</v>
      </c>
      <c r="L91" s="150">
        <f>990363+446500+490955+426255</f>
        <v>2354073</v>
      </c>
      <c r="M91" s="151">
        <v>32861.599999999999</v>
      </c>
      <c r="N91" s="162">
        <v>43100</v>
      </c>
      <c r="O91" s="67"/>
    </row>
    <row r="92" spans="2:18" ht="15" x14ac:dyDescent="0.35">
      <c r="B92" s="69"/>
      <c r="C92" s="71"/>
      <c r="D92" s="71"/>
      <c r="E92" s="71"/>
      <c r="F92" s="113"/>
      <c r="G92" s="114"/>
      <c r="H92" s="217" t="s">
        <v>673</v>
      </c>
      <c r="I92" s="217">
        <f>I91</f>
        <v>32861.983389806213</v>
      </c>
      <c r="J92" s="196">
        <v>1971696</v>
      </c>
      <c r="K92" s="232">
        <f>SUM(K91)</f>
        <v>1436863</v>
      </c>
      <c r="L92" s="232">
        <f>SUM(L91)</f>
        <v>2354073</v>
      </c>
      <c r="M92" s="214">
        <v>32861.599999999999</v>
      </c>
      <c r="N92" s="152"/>
      <c r="O92" s="67"/>
    </row>
    <row r="93" spans="2:18" ht="15" x14ac:dyDescent="0.35">
      <c r="B93" s="69"/>
      <c r="C93" s="71"/>
      <c r="D93" s="71"/>
      <c r="E93" s="71"/>
      <c r="F93" s="113"/>
      <c r="G93" s="617" t="s">
        <v>958</v>
      </c>
      <c r="H93" s="618"/>
      <c r="I93" s="167">
        <f>SUM(I77,I79,I81,I83,I90,I92)</f>
        <v>58653.683792977587</v>
      </c>
      <c r="J93" s="155"/>
      <c r="K93" s="233">
        <f>SUM(K77,K79,K81,K83,K90,K92)</f>
        <v>2659249.5</v>
      </c>
      <c r="L93" s="233"/>
      <c r="M93" s="157"/>
      <c r="N93" s="234"/>
      <c r="O93" s="67"/>
    </row>
    <row r="94" spans="2:18" ht="26.25" customHeight="1" x14ac:dyDescent="0.35">
      <c r="B94" s="69"/>
      <c r="C94" s="71"/>
      <c r="D94" s="71"/>
      <c r="E94" s="71"/>
      <c r="F94" s="113"/>
      <c r="G94" s="113"/>
      <c r="H94" s="83" t="s">
        <v>284</v>
      </c>
      <c r="I94" s="260">
        <f>SUM(I30,I35,I59,I75,I93)</f>
        <v>347158.54968307965</v>
      </c>
      <c r="J94" s="235">
        <v>20829267</v>
      </c>
      <c r="K94" s="236">
        <f>SUM(K30,K35,K40,K49,K53,K58,K68,K74,K77,K79,K81,K83,K90,K92)</f>
        <v>13156581</v>
      </c>
      <c r="L94" s="237">
        <f>SUM(L30,L35,L40,L49,L53,L58,L62,L68,L74,L77,L79,L81,L83,L90,L92)</f>
        <v>19814903</v>
      </c>
      <c r="M94" s="238">
        <f>SUM(M30,M35,M40,M49,M53,M58,M62,M68,M74,M77,M79,M81,M83,M90,M92)</f>
        <v>810034.97999999986</v>
      </c>
      <c r="N94" s="239"/>
      <c r="O94" s="67"/>
      <c r="R94" s="178">
        <f>13156581-K94</f>
        <v>0</v>
      </c>
    </row>
    <row r="95" spans="2:18" ht="15" x14ac:dyDescent="0.35">
      <c r="B95" s="69"/>
      <c r="C95" s="71"/>
      <c r="D95" s="71"/>
      <c r="E95" s="71"/>
      <c r="F95" s="71"/>
      <c r="G95" s="71"/>
      <c r="H95" s="78"/>
      <c r="I95" s="78"/>
      <c r="J95" s="68"/>
      <c r="K95" s="78"/>
      <c r="L95" s="78"/>
      <c r="M95" s="68"/>
      <c r="N95" s="68"/>
      <c r="O95" s="67"/>
    </row>
    <row r="96" spans="2:18" ht="34.5" customHeight="1" thickBot="1" x14ac:dyDescent="0.4">
      <c r="B96" s="69"/>
      <c r="C96" s="652" t="s">
        <v>963</v>
      </c>
      <c r="D96" s="652"/>
      <c r="E96" s="652"/>
      <c r="F96" s="652"/>
      <c r="G96" s="652"/>
      <c r="H96" s="652"/>
      <c r="I96" s="652"/>
      <c r="J96" s="652"/>
      <c r="K96" s="652"/>
      <c r="L96" s="652"/>
      <c r="M96" s="652"/>
      <c r="N96" s="68"/>
      <c r="O96" s="67"/>
    </row>
    <row r="97" spans="2:15" ht="63.75" customHeight="1" thickBot="1" x14ac:dyDescent="0.4">
      <c r="B97" s="69"/>
      <c r="C97" s="652" t="s">
        <v>215</v>
      </c>
      <c r="D97" s="652"/>
      <c r="E97" s="652"/>
      <c r="F97" s="652"/>
      <c r="G97" s="74"/>
      <c r="H97" s="653" t="s">
        <v>709</v>
      </c>
      <c r="I97" s="654"/>
      <c r="J97" s="654"/>
      <c r="K97" s="654"/>
      <c r="L97" s="654"/>
      <c r="M97" s="655"/>
      <c r="N97" s="68"/>
      <c r="O97" s="67"/>
    </row>
    <row r="98" spans="2:15" thickBot="1" x14ac:dyDescent="0.4">
      <c r="B98" s="69"/>
      <c r="C98" s="651"/>
      <c r="D98" s="651"/>
      <c r="E98" s="651"/>
      <c r="F98" s="651"/>
      <c r="G98" s="651"/>
      <c r="H98" s="651"/>
      <c r="I98" s="651"/>
      <c r="J98" s="651"/>
      <c r="K98" s="651"/>
      <c r="L98" s="651"/>
      <c r="M98" s="651"/>
      <c r="N98" s="68"/>
      <c r="O98" s="67"/>
    </row>
    <row r="99" spans="2:15" ht="59.25" customHeight="1" x14ac:dyDescent="0.35">
      <c r="B99" s="69"/>
      <c r="C99" s="652" t="s">
        <v>216</v>
      </c>
      <c r="D99" s="652"/>
      <c r="E99" s="652"/>
      <c r="F99" s="652"/>
      <c r="G99" s="74"/>
      <c r="H99" s="681" t="s">
        <v>709</v>
      </c>
      <c r="I99" s="682"/>
      <c r="J99" s="682"/>
      <c r="K99" s="682"/>
      <c r="L99" s="682"/>
      <c r="M99" s="683"/>
      <c r="N99" s="68"/>
      <c r="O99" s="67"/>
    </row>
    <row r="100" spans="2:15" ht="100" customHeight="1" thickBot="1" x14ac:dyDescent="0.4">
      <c r="B100" s="69"/>
      <c r="C100" s="652" t="s">
        <v>217</v>
      </c>
      <c r="D100" s="652"/>
      <c r="E100" s="652"/>
      <c r="F100" s="652"/>
      <c r="G100" s="74"/>
      <c r="H100" s="684"/>
      <c r="I100" s="685"/>
      <c r="J100" s="685"/>
      <c r="K100" s="685"/>
      <c r="L100" s="685"/>
      <c r="M100" s="686"/>
      <c r="N100" s="68"/>
      <c r="O100" s="67"/>
    </row>
    <row r="101" spans="2:15" ht="15" x14ac:dyDescent="0.35">
      <c r="B101" s="69"/>
      <c r="C101" s="71"/>
      <c r="D101" s="71"/>
      <c r="E101" s="71"/>
      <c r="F101" s="71"/>
      <c r="G101" s="71"/>
      <c r="H101" s="78"/>
      <c r="I101" s="78"/>
      <c r="J101" s="68"/>
      <c r="K101" s="78"/>
      <c r="L101" s="78"/>
      <c r="M101" s="68"/>
      <c r="N101" s="68"/>
      <c r="O101" s="67"/>
    </row>
    <row r="102" spans="2:15" thickBot="1" x14ac:dyDescent="0.4">
      <c r="B102" s="240"/>
      <c r="C102" s="674"/>
      <c r="D102" s="674"/>
      <c r="E102" s="674"/>
      <c r="F102" s="674"/>
      <c r="G102" s="241"/>
      <c r="H102" s="242"/>
      <c r="I102" s="242"/>
      <c r="J102" s="243"/>
      <c r="K102" s="242"/>
      <c r="L102" s="242"/>
      <c r="M102" s="244"/>
      <c r="N102" s="244"/>
      <c r="O102" s="245"/>
    </row>
    <row r="103" spans="2:15" s="249" customFormat="1" ht="65.150000000000006" customHeight="1" x14ac:dyDescent="0.35">
      <c r="B103" s="246"/>
      <c r="C103" s="675"/>
      <c r="D103" s="675"/>
      <c r="E103" s="675"/>
      <c r="F103" s="675"/>
      <c r="G103" s="247"/>
      <c r="H103" s="676"/>
      <c r="I103" s="676"/>
      <c r="J103" s="676"/>
      <c r="K103" s="676"/>
      <c r="L103" s="676"/>
      <c r="M103" s="676"/>
      <c r="N103" s="248"/>
    </row>
    <row r="104" spans="2:15" ht="59.25" customHeight="1" x14ac:dyDescent="0.35">
      <c r="B104" s="246"/>
      <c r="C104" s="250"/>
      <c r="D104" s="250"/>
      <c r="E104" s="250"/>
      <c r="F104" s="250"/>
      <c r="G104" s="250"/>
      <c r="H104" s="251"/>
      <c r="I104" s="251"/>
      <c r="J104" s="88"/>
      <c r="K104" s="252"/>
      <c r="L104" s="252"/>
      <c r="M104" s="88"/>
      <c r="N104" s="248"/>
    </row>
    <row r="105" spans="2:15" ht="50.15" customHeight="1" x14ac:dyDescent="0.35">
      <c r="B105" s="246"/>
      <c r="C105" s="677"/>
      <c r="D105" s="677"/>
      <c r="E105" s="677"/>
      <c r="F105" s="677"/>
      <c r="G105" s="246"/>
      <c r="H105" s="679"/>
      <c r="I105" s="679"/>
      <c r="J105" s="679"/>
      <c r="K105" s="679"/>
      <c r="L105" s="679"/>
      <c r="M105" s="679"/>
      <c r="N105" s="248"/>
    </row>
    <row r="106" spans="2:15" ht="100" customHeight="1" x14ac:dyDescent="0.35">
      <c r="B106" s="246"/>
      <c r="C106" s="677"/>
      <c r="D106" s="677"/>
      <c r="E106" s="677"/>
      <c r="F106" s="677"/>
      <c r="G106" s="246"/>
      <c r="H106" s="678"/>
      <c r="I106" s="678"/>
      <c r="J106" s="678"/>
      <c r="K106" s="678"/>
      <c r="L106" s="678"/>
      <c r="M106" s="678"/>
      <c r="N106" s="248"/>
    </row>
    <row r="107" spans="2:15" x14ac:dyDescent="0.35">
      <c r="B107" s="246"/>
      <c r="C107" s="246"/>
      <c r="D107" s="246"/>
      <c r="E107" s="246"/>
      <c r="F107" s="246"/>
      <c r="G107" s="246"/>
      <c r="H107" s="253"/>
      <c r="I107" s="253"/>
      <c r="J107" s="248"/>
      <c r="K107" s="254"/>
      <c r="L107" s="254"/>
      <c r="M107" s="248"/>
      <c r="N107" s="248"/>
    </row>
    <row r="108" spans="2:15" x14ac:dyDescent="0.35">
      <c r="B108" s="246"/>
      <c r="C108" s="680"/>
      <c r="D108" s="680"/>
      <c r="E108" s="680"/>
      <c r="F108" s="680"/>
      <c r="G108" s="250"/>
      <c r="H108" s="253"/>
      <c r="I108" s="253"/>
      <c r="J108" s="248"/>
      <c r="K108" s="254"/>
      <c r="L108" s="254"/>
      <c r="M108" s="248"/>
      <c r="N108" s="248"/>
    </row>
    <row r="109" spans="2:15" ht="50.15" customHeight="1" x14ac:dyDescent="0.35">
      <c r="B109" s="246"/>
      <c r="C109" s="680"/>
      <c r="D109" s="680"/>
      <c r="E109" s="680"/>
      <c r="F109" s="680"/>
      <c r="G109" s="250"/>
      <c r="H109" s="678"/>
      <c r="I109" s="678"/>
      <c r="J109" s="678"/>
      <c r="K109" s="678"/>
      <c r="L109" s="678"/>
      <c r="M109" s="678"/>
      <c r="N109" s="248"/>
    </row>
    <row r="110" spans="2:15" ht="100" customHeight="1" x14ac:dyDescent="0.35">
      <c r="B110" s="246"/>
      <c r="C110" s="677"/>
      <c r="D110" s="677"/>
      <c r="E110" s="677"/>
      <c r="F110" s="677"/>
      <c r="G110" s="246"/>
      <c r="H110" s="678"/>
      <c r="I110" s="678"/>
      <c r="J110" s="678"/>
      <c r="K110" s="678"/>
      <c r="L110" s="678"/>
      <c r="M110" s="678"/>
      <c r="N110" s="248"/>
    </row>
    <row r="111" spans="2:15" x14ac:dyDescent="0.35">
      <c r="B111" s="246"/>
      <c r="C111" s="255"/>
      <c r="D111" s="255"/>
      <c r="E111" s="255"/>
      <c r="F111" s="246"/>
      <c r="G111" s="246"/>
      <c r="H111" s="256"/>
      <c r="I111" s="256"/>
      <c r="J111" s="257"/>
      <c r="K111" s="258"/>
      <c r="L111" s="258"/>
      <c r="M111" s="248"/>
      <c r="N111" s="248"/>
    </row>
    <row r="112" spans="2:15" x14ac:dyDescent="0.35">
      <c r="B112" s="246"/>
      <c r="C112" s="255"/>
      <c r="D112" s="255"/>
      <c r="E112" s="255"/>
      <c r="F112" s="255"/>
      <c r="G112" s="255"/>
      <c r="H112" s="256"/>
      <c r="I112" s="256"/>
      <c r="J112" s="257"/>
      <c r="K112" s="258"/>
      <c r="L112" s="258"/>
      <c r="M112" s="257"/>
      <c r="N112" s="257"/>
    </row>
  </sheetData>
  <mergeCells count="52">
    <mergeCell ref="C102:F102"/>
    <mergeCell ref="C103:F103"/>
    <mergeCell ref="H103:M103"/>
    <mergeCell ref="C96:M96"/>
    <mergeCell ref="C110:F110"/>
    <mergeCell ref="H109:M109"/>
    <mergeCell ref="H110:M110"/>
    <mergeCell ref="H106:M106"/>
    <mergeCell ref="H105:M105"/>
    <mergeCell ref="C105:F105"/>
    <mergeCell ref="C106:F106"/>
    <mergeCell ref="C109:F109"/>
    <mergeCell ref="C108:F108"/>
    <mergeCell ref="C100:F100"/>
    <mergeCell ref="C99:F99"/>
    <mergeCell ref="H99:M100"/>
    <mergeCell ref="C98:M98"/>
    <mergeCell ref="C26:F26"/>
    <mergeCell ref="C97:F97"/>
    <mergeCell ref="H97:M97"/>
    <mergeCell ref="C5:M5"/>
    <mergeCell ref="C7:F7"/>
    <mergeCell ref="C16:F16"/>
    <mergeCell ref="C14:M14"/>
    <mergeCell ref="H13:M13"/>
    <mergeCell ref="H9:M9"/>
    <mergeCell ref="H11:M11"/>
    <mergeCell ref="C8:M8"/>
    <mergeCell ref="C13:F13"/>
    <mergeCell ref="F28:F29"/>
    <mergeCell ref="G28:G29"/>
    <mergeCell ref="G33:G34"/>
    <mergeCell ref="C3:N3"/>
    <mergeCell ref="B4:M4"/>
    <mergeCell ref="C9:G9"/>
    <mergeCell ref="C11:G11"/>
    <mergeCell ref="C10:G10"/>
    <mergeCell ref="H10:M10"/>
    <mergeCell ref="G75:H75"/>
    <mergeCell ref="G93:H93"/>
    <mergeCell ref="K6:L7"/>
    <mergeCell ref="F31:F34"/>
    <mergeCell ref="G63:G67"/>
    <mergeCell ref="G59:H59"/>
    <mergeCell ref="G69:G73"/>
    <mergeCell ref="F60:F73"/>
    <mergeCell ref="G41:G48"/>
    <mergeCell ref="G50:G52"/>
    <mergeCell ref="G54:G57"/>
    <mergeCell ref="G60:G61"/>
    <mergeCell ref="F36:F57"/>
    <mergeCell ref="G36:G39"/>
  </mergeCells>
  <dataValidations count="2">
    <dataValidation type="whole" allowBlank="1" showInputMessage="1" showErrorMessage="1" sqref="H105:L105 H99:L99 H9:I10 J9:L9" xr:uid="{00000000-0002-0000-0100-000000000000}">
      <formula1>-999999999</formula1>
      <formula2>999999999</formula2>
    </dataValidation>
    <dataValidation type="list" allowBlank="1" showInputMessage="1" showErrorMessage="1" sqref="H109:L109" xr:uid="{00000000-0002-0000-0100-000001000000}">
      <formula1>$R$115:$R$116</formula1>
    </dataValidation>
  </dataValidations>
  <pageMargins left="0.25" right="0.25" top="0.18" bottom="0.19" header="0.17" footer="0.17"/>
  <pageSetup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75"/>
  <sheetViews>
    <sheetView topLeftCell="A43" workbookViewId="0">
      <selection activeCell="F13" sqref="F13"/>
    </sheetView>
  </sheetViews>
  <sheetFormatPr defaultColWidth="9.1796875" defaultRowHeight="14.5" x14ac:dyDescent="0.35"/>
  <cols>
    <col min="1" max="1" width="1.26953125" style="348" customWidth="1"/>
    <col min="2" max="2" width="1.81640625" style="348" customWidth="1"/>
    <col min="3" max="3" width="24" style="348" customWidth="1"/>
    <col min="4" max="4" width="26.26953125" style="348" customWidth="1"/>
    <col min="5" max="5" width="17.81640625" style="348" customWidth="1"/>
    <col min="6" max="6" width="19.7265625" style="348" customWidth="1"/>
    <col min="7" max="7" width="27.7265625" style="348" customWidth="1"/>
    <col min="8" max="8" width="15.7265625" style="348" customWidth="1"/>
    <col min="9" max="9" width="1.54296875" style="348" customWidth="1"/>
    <col min="10" max="16384" width="9.1796875" style="348"/>
  </cols>
  <sheetData>
    <row r="1" spans="2:9" ht="8.25" customHeight="1" thickBot="1" x14ac:dyDescent="0.4"/>
    <row r="2" spans="2:9" ht="14.65" thickBot="1" x14ac:dyDescent="0.4">
      <c r="B2" s="350"/>
      <c r="C2" s="352"/>
      <c r="D2" s="352"/>
      <c r="E2" s="352"/>
      <c r="F2" s="352"/>
      <c r="G2" s="352"/>
      <c r="H2" s="352"/>
      <c r="I2" s="353"/>
    </row>
    <row r="3" spans="2:9" ht="20.149999999999999" thickBot="1" x14ac:dyDescent="0.5">
      <c r="B3" s="354"/>
      <c r="C3" s="687" t="s">
        <v>220</v>
      </c>
      <c r="D3" s="688"/>
      <c r="E3" s="688"/>
      <c r="F3" s="688"/>
      <c r="G3" s="688"/>
      <c r="H3" s="689"/>
      <c r="I3" s="355"/>
    </row>
    <row r="4" spans="2:9" ht="14.15" x14ac:dyDescent="0.35">
      <c r="B4" s="691"/>
      <c r="C4" s="692"/>
      <c r="D4" s="692"/>
      <c r="E4" s="692"/>
      <c r="F4" s="692"/>
      <c r="G4" s="692"/>
      <c r="H4" s="692"/>
      <c r="I4" s="355"/>
    </row>
    <row r="5" spans="2:9" ht="15" x14ac:dyDescent="0.35">
      <c r="B5" s="356"/>
      <c r="C5" s="699" t="s">
        <v>295</v>
      </c>
      <c r="D5" s="699"/>
      <c r="E5" s="699"/>
      <c r="F5" s="699"/>
      <c r="G5" s="700" t="s">
        <v>917</v>
      </c>
      <c r="H5" s="700"/>
      <c r="I5" s="382"/>
    </row>
    <row r="6" spans="2:9" ht="14.15" x14ac:dyDescent="0.35">
      <c r="B6" s="356"/>
      <c r="C6" s="694" t="s">
        <v>309</v>
      </c>
      <c r="D6" s="694"/>
      <c r="E6" s="694"/>
      <c r="F6" s="695"/>
      <c r="G6" s="696" t="s">
        <v>855</v>
      </c>
      <c r="H6" s="697"/>
      <c r="I6" s="355"/>
    </row>
    <row r="7" spans="2:9" ht="14.15" x14ac:dyDescent="0.35">
      <c r="B7" s="356"/>
      <c r="C7" s="359"/>
      <c r="D7" s="358"/>
      <c r="E7" s="359"/>
      <c r="F7" s="359"/>
      <c r="G7" s="359"/>
      <c r="H7" s="359"/>
      <c r="I7" s="355"/>
    </row>
    <row r="8" spans="2:9" ht="14.15" x14ac:dyDescent="0.35">
      <c r="B8" s="356"/>
      <c r="C8" s="693" t="s">
        <v>235</v>
      </c>
      <c r="D8" s="693"/>
      <c r="E8" s="360"/>
      <c r="F8" s="360"/>
      <c r="G8" s="360"/>
      <c r="H8" s="360"/>
      <c r="I8" s="355"/>
    </row>
    <row r="9" spans="2:9" ht="14.65" thickBot="1" x14ac:dyDescent="0.4">
      <c r="B9" s="356"/>
      <c r="C9" s="693" t="s">
        <v>236</v>
      </c>
      <c r="D9" s="693"/>
      <c r="E9" s="693"/>
      <c r="F9" s="693"/>
      <c r="G9" s="693"/>
      <c r="H9" s="693"/>
      <c r="I9" s="355"/>
    </row>
    <row r="10" spans="2:9" ht="42.5" x14ac:dyDescent="0.35">
      <c r="B10" s="356"/>
      <c r="C10" s="383"/>
      <c r="D10" s="384" t="s">
        <v>237</v>
      </c>
      <c r="E10" s="385" t="s">
        <v>926</v>
      </c>
      <c r="F10" s="385" t="s">
        <v>794</v>
      </c>
      <c r="G10" s="385" t="s">
        <v>927</v>
      </c>
      <c r="H10" s="386" t="s">
        <v>928</v>
      </c>
      <c r="I10" s="355"/>
    </row>
    <row r="11" spans="2:9" ht="14.15" x14ac:dyDescent="0.35">
      <c r="B11" s="356"/>
      <c r="C11" s="702" t="s">
        <v>931</v>
      </c>
      <c r="D11" s="703"/>
      <c r="E11" s="703"/>
      <c r="F11" s="703"/>
      <c r="G11" s="703"/>
      <c r="H11" s="704"/>
      <c r="I11" s="355"/>
    </row>
    <row r="12" spans="2:9" ht="28.25" x14ac:dyDescent="0.35">
      <c r="B12" s="356"/>
      <c r="C12" s="387" t="s">
        <v>918</v>
      </c>
      <c r="D12" s="388" t="s">
        <v>919</v>
      </c>
      <c r="E12" s="389">
        <v>3923</v>
      </c>
      <c r="F12" s="389" t="s">
        <v>920</v>
      </c>
      <c r="G12" s="389">
        <v>1569.2</v>
      </c>
      <c r="H12" s="390">
        <f>E12-G12</f>
        <v>2353.8000000000002</v>
      </c>
      <c r="I12" s="355"/>
    </row>
    <row r="13" spans="2:9" ht="84.9" x14ac:dyDescent="0.35">
      <c r="B13" s="356"/>
      <c r="C13" s="387" t="s">
        <v>921</v>
      </c>
      <c r="D13" s="388" t="s">
        <v>969</v>
      </c>
      <c r="E13" s="389">
        <v>10122</v>
      </c>
      <c r="F13" s="389" t="s">
        <v>922</v>
      </c>
      <c r="G13" s="389">
        <v>2746.1</v>
      </c>
      <c r="H13" s="390">
        <f>E13-G13</f>
        <v>7375.9</v>
      </c>
      <c r="I13" s="355"/>
    </row>
    <row r="14" spans="2:9" ht="28.25" x14ac:dyDescent="0.35">
      <c r="B14" s="356"/>
      <c r="C14" s="391" t="s">
        <v>924</v>
      </c>
      <c r="D14" s="392" t="s">
        <v>923</v>
      </c>
      <c r="E14" s="393">
        <v>16180</v>
      </c>
      <c r="F14" s="394" t="s">
        <v>925</v>
      </c>
      <c r="G14" s="395">
        <v>12584</v>
      </c>
      <c r="H14" s="396">
        <f>16180-12584</f>
        <v>3596</v>
      </c>
      <c r="I14" s="355"/>
    </row>
    <row r="15" spans="2:9" ht="56.65" x14ac:dyDescent="0.35">
      <c r="B15" s="356"/>
      <c r="C15" s="392" t="s">
        <v>924</v>
      </c>
      <c r="D15" s="397" t="s">
        <v>929</v>
      </c>
      <c r="E15" s="398">
        <v>40449</v>
      </c>
      <c r="F15" s="399" t="s">
        <v>925</v>
      </c>
      <c r="G15" s="398">
        <v>24270</v>
      </c>
      <c r="H15" s="400">
        <f>E15-G15</f>
        <v>16179</v>
      </c>
      <c r="I15" s="355"/>
    </row>
    <row r="16" spans="2:9" ht="14.15" x14ac:dyDescent="0.35">
      <c r="B16" s="356"/>
      <c r="C16" s="388"/>
      <c r="D16" s="401"/>
      <c r="E16" s="402"/>
      <c r="F16" s="403"/>
      <c r="G16" s="402"/>
      <c r="H16" s="402"/>
      <c r="I16" s="355"/>
    </row>
    <row r="17" spans="2:9" ht="14.15" x14ac:dyDescent="0.35">
      <c r="B17" s="356"/>
      <c r="C17" s="706" t="s">
        <v>946</v>
      </c>
      <c r="D17" s="703"/>
      <c r="E17" s="703"/>
      <c r="F17" s="703"/>
      <c r="G17" s="703"/>
      <c r="H17" s="707"/>
      <c r="I17" s="355"/>
    </row>
    <row r="18" spans="2:9" ht="56.65" x14ac:dyDescent="0.35">
      <c r="B18" s="356"/>
      <c r="C18" s="402" t="s">
        <v>924</v>
      </c>
      <c r="D18" s="402" t="s">
        <v>933</v>
      </c>
      <c r="E18" s="402">
        <f>18000/63.7267</f>
        <v>282.45617613967141</v>
      </c>
      <c r="F18" s="402" t="s">
        <v>932</v>
      </c>
      <c r="G18" s="402">
        <f>18000/63.7267</f>
        <v>282.45617613967141</v>
      </c>
      <c r="H18" s="402">
        <f>E18-G18</f>
        <v>0</v>
      </c>
      <c r="I18" s="355"/>
    </row>
    <row r="19" spans="2:9" ht="42.5" x14ac:dyDescent="0.35">
      <c r="B19" s="356"/>
      <c r="C19" s="402" t="s">
        <v>924</v>
      </c>
      <c r="D19" s="402" t="s">
        <v>934</v>
      </c>
      <c r="E19" s="402">
        <f>23000/63.7267</f>
        <v>360.91622506735797</v>
      </c>
      <c r="F19" s="393" t="s">
        <v>932</v>
      </c>
      <c r="G19" s="402">
        <f>23000/63.7267</f>
        <v>360.91622506735797</v>
      </c>
      <c r="H19" s="402">
        <v>0</v>
      </c>
      <c r="I19" s="355"/>
    </row>
    <row r="20" spans="2:9" ht="60" customHeight="1" x14ac:dyDescent="0.35">
      <c r="B20" s="356"/>
      <c r="C20" s="402" t="s">
        <v>924</v>
      </c>
      <c r="D20" s="402" t="s">
        <v>935</v>
      </c>
      <c r="E20" s="402">
        <f>18000/63.7267</f>
        <v>282.45617613967141</v>
      </c>
      <c r="F20" s="402" t="s">
        <v>932</v>
      </c>
      <c r="G20" s="402">
        <f>18000/63.7267</f>
        <v>282.45617613967141</v>
      </c>
      <c r="H20" s="402">
        <f t="shared" ref="H20:H25" si="0">E20-G20</f>
        <v>0</v>
      </c>
      <c r="I20" s="355"/>
    </row>
    <row r="21" spans="2:9" ht="42.5" x14ac:dyDescent="0.35">
      <c r="B21" s="356"/>
      <c r="C21" s="402" t="s">
        <v>924</v>
      </c>
      <c r="D21" s="404" t="s">
        <v>936</v>
      </c>
      <c r="E21" s="402">
        <f>14000/63.7267</f>
        <v>219.68813699752224</v>
      </c>
      <c r="F21" s="403" t="s">
        <v>937</v>
      </c>
      <c r="G21" s="402">
        <f>14000/63.7267</f>
        <v>219.68813699752224</v>
      </c>
      <c r="H21" s="402">
        <f t="shared" si="0"/>
        <v>0</v>
      </c>
      <c r="I21" s="355"/>
    </row>
    <row r="22" spans="2:9" ht="28.25" x14ac:dyDescent="0.35">
      <c r="B22" s="356"/>
      <c r="C22" s="402" t="s">
        <v>924</v>
      </c>
      <c r="D22" s="402" t="s">
        <v>938</v>
      </c>
      <c r="E22" s="402">
        <f>12500/63.7267</f>
        <v>196.15012231921628</v>
      </c>
      <c r="F22" s="405" t="s">
        <v>939</v>
      </c>
      <c r="G22" s="402">
        <f>12500/63.7267</f>
        <v>196.15012231921628</v>
      </c>
      <c r="H22" s="402">
        <f t="shared" si="0"/>
        <v>0</v>
      </c>
      <c r="I22" s="355"/>
    </row>
    <row r="23" spans="2:9" ht="42.5" x14ac:dyDescent="0.35">
      <c r="B23" s="356"/>
      <c r="C23" s="402" t="s">
        <v>924</v>
      </c>
      <c r="D23" s="406" t="s">
        <v>940</v>
      </c>
      <c r="E23" s="402">
        <f>1000/63.7267</f>
        <v>15.692009785537302</v>
      </c>
      <c r="F23" s="403" t="s">
        <v>941</v>
      </c>
      <c r="G23" s="402">
        <v>0</v>
      </c>
      <c r="H23" s="402">
        <f t="shared" si="0"/>
        <v>15.692009785537302</v>
      </c>
      <c r="I23" s="355"/>
    </row>
    <row r="24" spans="2:9" ht="42.5" x14ac:dyDescent="0.35">
      <c r="B24" s="356"/>
      <c r="C24" s="402" t="s">
        <v>924</v>
      </c>
      <c r="D24" s="2" t="s">
        <v>942</v>
      </c>
      <c r="E24" s="402">
        <f>750*4/63.7267</f>
        <v>47.076029356611905</v>
      </c>
      <c r="F24" s="403" t="s">
        <v>944</v>
      </c>
      <c r="G24" s="402">
        <v>0</v>
      </c>
      <c r="H24" s="402">
        <f t="shared" si="0"/>
        <v>47.076029356611905</v>
      </c>
      <c r="I24" s="355"/>
    </row>
    <row r="25" spans="2:9" ht="56.65" x14ac:dyDescent="0.35">
      <c r="B25" s="356"/>
      <c r="C25" s="402" t="s">
        <v>924</v>
      </c>
      <c r="D25" s="406" t="s">
        <v>943</v>
      </c>
      <c r="E25" s="402">
        <f>20000/63.7267</f>
        <v>313.84019571074606</v>
      </c>
      <c r="F25" s="403" t="s">
        <v>945</v>
      </c>
      <c r="G25" s="402">
        <f>20000/63.7267</f>
        <v>313.84019571074606</v>
      </c>
      <c r="H25" s="402">
        <f t="shared" si="0"/>
        <v>0</v>
      </c>
      <c r="I25" s="355"/>
    </row>
    <row r="26" spans="2:9" ht="14.15" x14ac:dyDescent="0.35">
      <c r="B26" s="356"/>
      <c r="C26" s="388"/>
      <c r="D26" s="401"/>
      <c r="E26" s="402"/>
      <c r="F26" s="403"/>
      <c r="G26" s="402"/>
      <c r="H26" s="402"/>
      <c r="I26" s="355"/>
    </row>
    <row r="27" spans="2:9" ht="14.15" x14ac:dyDescent="0.35">
      <c r="B27" s="356"/>
      <c r="C27" s="407"/>
      <c r="D27" s="408"/>
      <c r="E27" s="408"/>
      <c r="F27" s="408"/>
      <c r="G27" s="408"/>
      <c r="H27" s="408"/>
      <c r="I27" s="355"/>
    </row>
    <row r="28" spans="2:9" x14ac:dyDescent="0.35">
      <c r="B28" s="356"/>
      <c r="C28" s="698" t="s">
        <v>996</v>
      </c>
      <c r="D28" s="698"/>
      <c r="E28" s="698"/>
      <c r="F28" s="698"/>
      <c r="G28" s="698"/>
      <c r="H28" s="698"/>
      <c r="I28" s="355"/>
    </row>
    <row r="29" spans="2:9" x14ac:dyDescent="0.35">
      <c r="B29" s="356"/>
      <c r="C29" s="698"/>
      <c r="D29" s="698"/>
      <c r="E29" s="698"/>
      <c r="F29" s="698"/>
      <c r="G29" s="698"/>
      <c r="H29" s="698"/>
      <c r="I29" s="355"/>
    </row>
    <row r="30" spans="2:9" x14ac:dyDescent="0.35">
      <c r="B30" s="356"/>
      <c r="C30" s="698"/>
      <c r="D30" s="698"/>
      <c r="E30" s="698"/>
      <c r="F30" s="698"/>
      <c r="G30" s="698"/>
      <c r="H30" s="698"/>
      <c r="I30" s="355"/>
    </row>
    <row r="31" spans="2:9" x14ac:dyDescent="0.35">
      <c r="B31" s="356"/>
      <c r="C31" s="698"/>
      <c r="D31" s="698"/>
      <c r="E31" s="698"/>
      <c r="F31" s="698"/>
      <c r="G31" s="698"/>
      <c r="H31" s="698"/>
      <c r="I31" s="355"/>
    </row>
    <row r="32" spans="2:9" x14ac:dyDescent="0.35">
      <c r="B32" s="356"/>
      <c r="C32" s="698"/>
      <c r="D32" s="698"/>
      <c r="E32" s="698"/>
      <c r="F32" s="698"/>
      <c r="G32" s="698"/>
      <c r="H32" s="698"/>
      <c r="I32" s="355"/>
    </row>
    <row r="33" spans="2:9" x14ac:dyDescent="0.35">
      <c r="B33" s="356"/>
      <c r="C33" s="698"/>
      <c r="D33" s="698"/>
      <c r="E33" s="698"/>
      <c r="F33" s="698"/>
      <c r="G33" s="698"/>
      <c r="H33" s="698"/>
      <c r="I33" s="355"/>
    </row>
    <row r="34" spans="2:9" x14ac:dyDescent="0.35">
      <c r="B34" s="356"/>
      <c r="C34" s="698"/>
      <c r="D34" s="698"/>
      <c r="E34" s="698"/>
      <c r="F34" s="698"/>
      <c r="G34" s="698"/>
      <c r="H34" s="698"/>
      <c r="I34" s="355"/>
    </row>
    <row r="35" spans="2:9" x14ac:dyDescent="0.35">
      <c r="B35" s="356"/>
      <c r="C35" s="698"/>
      <c r="D35" s="698"/>
      <c r="E35" s="698"/>
      <c r="F35" s="698"/>
      <c r="G35" s="698"/>
      <c r="H35" s="698"/>
      <c r="I35" s="355"/>
    </row>
    <row r="36" spans="2:9" ht="123" customHeight="1" x14ac:dyDescent="0.35">
      <c r="B36" s="356"/>
      <c r="C36" s="698"/>
      <c r="D36" s="698"/>
      <c r="E36" s="698"/>
      <c r="F36" s="698"/>
      <c r="G36" s="698"/>
      <c r="H36" s="698"/>
      <c r="I36" s="355"/>
    </row>
    <row r="37" spans="2:9" ht="14.15" x14ac:dyDescent="0.35">
      <c r="B37" s="356"/>
      <c r="C37" s="409"/>
      <c r="D37" s="409"/>
      <c r="E37" s="409"/>
      <c r="F37" s="409"/>
      <c r="G37" s="409"/>
      <c r="H37" s="409"/>
      <c r="I37" s="355"/>
    </row>
    <row r="38" spans="2:9" ht="14.15" x14ac:dyDescent="0.35">
      <c r="B38" s="356"/>
      <c r="C38" s="693" t="s">
        <v>238</v>
      </c>
      <c r="D38" s="693"/>
      <c r="E38" s="358"/>
      <c r="F38" s="358"/>
      <c r="G38" s="358"/>
      <c r="H38" s="358"/>
      <c r="I38" s="355"/>
    </row>
    <row r="39" spans="2:9" ht="14.65" thickBot="1" x14ac:dyDescent="0.4">
      <c r="B39" s="356"/>
      <c r="C39" s="701" t="s">
        <v>240</v>
      </c>
      <c r="D39" s="701"/>
      <c r="E39" s="701"/>
      <c r="F39" s="705" t="s">
        <v>930</v>
      </c>
      <c r="G39" s="705"/>
      <c r="H39" s="410"/>
      <c r="I39" s="355"/>
    </row>
    <row r="40" spans="2:9" ht="28.75" thickBot="1" x14ac:dyDescent="0.4">
      <c r="B40" s="356"/>
      <c r="C40" s="411" t="s">
        <v>291</v>
      </c>
      <c r="D40" s="403" t="s">
        <v>239</v>
      </c>
      <c r="E40" s="403" t="s">
        <v>289</v>
      </c>
      <c r="F40" s="403" t="s">
        <v>290</v>
      </c>
      <c r="G40" s="403" t="s">
        <v>288</v>
      </c>
      <c r="H40" s="412"/>
      <c r="I40" s="413"/>
    </row>
    <row r="41" spans="2:9" ht="15" customHeight="1" x14ac:dyDescent="0.35">
      <c r="B41" s="356"/>
      <c r="C41" s="708" t="s">
        <v>795</v>
      </c>
      <c r="D41" s="711" t="s">
        <v>947</v>
      </c>
      <c r="E41" s="712"/>
      <c r="F41" s="712"/>
      <c r="G41" s="713"/>
      <c r="H41" s="358"/>
      <c r="I41" s="690"/>
    </row>
    <row r="42" spans="2:9" x14ac:dyDescent="0.35">
      <c r="B42" s="356"/>
      <c r="C42" s="709"/>
      <c r="D42" s="711"/>
      <c r="E42" s="712"/>
      <c r="F42" s="712"/>
      <c r="G42" s="713"/>
      <c r="H42" s="358"/>
      <c r="I42" s="690"/>
    </row>
    <row r="43" spans="2:9" ht="15" thickBot="1" x14ac:dyDescent="0.4">
      <c r="B43" s="356"/>
      <c r="C43" s="710"/>
      <c r="D43" s="711"/>
      <c r="E43" s="712"/>
      <c r="F43" s="712"/>
      <c r="G43" s="713"/>
      <c r="H43" s="358"/>
      <c r="I43" s="690"/>
    </row>
    <row r="44" spans="2:9" ht="15" customHeight="1" x14ac:dyDescent="0.35">
      <c r="B44" s="356"/>
      <c r="C44" s="708" t="s">
        <v>796</v>
      </c>
      <c r="D44" s="711"/>
      <c r="E44" s="712"/>
      <c r="F44" s="712"/>
      <c r="G44" s="713"/>
      <c r="H44" s="358"/>
      <c r="I44" s="690"/>
    </row>
    <row r="45" spans="2:9" x14ac:dyDescent="0.35">
      <c r="B45" s="356"/>
      <c r="C45" s="709"/>
      <c r="D45" s="711"/>
      <c r="E45" s="712"/>
      <c r="F45" s="712"/>
      <c r="G45" s="713"/>
      <c r="H45" s="358"/>
      <c r="I45" s="690"/>
    </row>
    <row r="46" spans="2:9" ht="15" thickBot="1" x14ac:dyDescent="0.4">
      <c r="B46" s="356"/>
      <c r="C46" s="710"/>
      <c r="D46" s="711"/>
      <c r="E46" s="712"/>
      <c r="F46" s="712"/>
      <c r="G46" s="713"/>
      <c r="H46" s="358"/>
      <c r="I46" s="690"/>
    </row>
    <row r="47" spans="2:9" ht="15" customHeight="1" x14ac:dyDescent="0.35">
      <c r="B47" s="356"/>
      <c r="C47" s="708" t="s">
        <v>796</v>
      </c>
      <c r="D47" s="711"/>
      <c r="E47" s="712"/>
      <c r="F47" s="712"/>
      <c r="G47" s="713"/>
      <c r="H47" s="358"/>
      <c r="I47" s="690"/>
    </row>
    <row r="48" spans="2:9" x14ac:dyDescent="0.35">
      <c r="B48" s="356"/>
      <c r="C48" s="709"/>
      <c r="D48" s="711"/>
      <c r="E48" s="712"/>
      <c r="F48" s="712"/>
      <c r="G48" s="713"/>
      <c r="H48" s="358"/>
      <c r="I48" s="690"/>
    </row>
    <row r="49" spans="2:9" ht="15" thickBot="1" x14ac:dyDescent="0.4">
      <c r="B49" s="356"/>
      <c r="C49" s="710"/>
      <c r="D49" s="711"/>
      <c r="E49" s="712"/>
      <c r="F49" s="712"/>
      <c r="G49" s="713"/>
      <c r="H49" s="358"/>
      <c r="I49" s="690"/>
    </row>
    <row r="50" spans="2:9" ht="15" customHeight="1" x14ac:dyDescent="0.35">
      <c r="B50" s="356"/>
      <c r="C50" s="708" t="s">
        <v>796</v>
      </c>
      <c r="D50" s="711"/>
      <c r="E50" s="712"/>
      <c r="F50" s="712"/>
      <c r="G50" s="713"/>
      <c r="H50" s="358"/>
      <c r="I50" s="690"/>
    </row>
    <row r="51" spans="2:9" x14ac:dyDescent="0.35">
      <c r="B51" s="356"/>
      <c r="C51" s="709"/>
      <c r="D51" s="711"/>
      <c r="E51" s="712"/>
      <c r="F51" s="712"/>
      <c r="G51" s="713"/>
      <c r="H51" s="358"/>
      <c r="I51" s="690"/>
    </row>
    <row r="52" spans="2:9" s="414" customFormat="1" ht="15.75" customHeight="1" thickBot="1" x14ac:dyDescent="0.4">
      <c r="B52" s="356"/>
      <c r="C52" s="710"/>
      <c r="D52" s="711"/>
      <c r="E52" s="712"/>
      <c r="F52" s="712"/>
      <c r="G52" s="713"/>
      <c r="H52" s="358"/>
      <c r="I52" s="690"/>
    </row>
    <row r="53" spans="2:9" s="414" customFormat="1" ht="15.75" customHeight="1" x14ac:dyDescent="0.35">
      <c r="B53" s="356"/>
      <c r="C53" s="708" t="s">
        <v>796</v>
      </c>
      <c r="D53" s="711"/>
      <c r="E53" s="712"/>
      <c r="F53" s="712"/>
      <c r="G53" s="713"/>
      <c r="H53" s="358"/>
      <c r="I53" s="690"/>
    </row>
    <row r="54" spans="2:9" s="414" customFormat="1" x14ac:dyDescent="0.35">
      <c r="B54" s="356"/>
      <c r="C54" s="709"/>
      <c r="D54" s="711"/>
      <c r="E54" s="712"/>
      <c r="F54" s="712"/>
      <c r="G54" s="713"/>
      <c r="H54" s="358"/>
      <c r="I54" s="690"/>
    </row>
    <row r="55" spans="2:9" s="414" customFormat="1" ht="15" thickBot="1" x14ac:dyDescent="0.4">
      <c r="B55" s="356"/>
      <c r="C55" s="710"/>
      <c r="D55" s="714"/>
      <c r="E55" s="715"/>
      <c r="F55" s="715"/>
      <c r="G55" s="716"/>
      <c r="H55" s="358"/>
      <c r="I55" s="690"/>
    </row>
    <row r="56" spans="2:9" s="414" customFormat="1" ht="14.65" thickBot="1" x14ac:dyDescent="0.4">
      <c r="B56" s="415"/>
      <c r="C56" s="416"/>
      <c r="D56" s="416"/>
      <c r="E56" s="416"/>
      <c r="F56" s="416"/>
      <c r="G56" s="416"/>
      <c r="H56" s="416"/>
      <c r="I56" s="417"/>
    </row>
    <row r="57" spans="2:9" s="414" customFormat="1" ht="14.15" x14ac:dyDescent="0.35">
      <c r="B57" s="377"/>
      <c r="C57" s="377"/>
      <c r="D57" s="377"/>
      <c r="E57" s="377"/>
      <c r="F57" s="377"/>
      <c r="G57" s="377"/>
      <c r="H57" s="377"/>
      <c r="I57" s="377"/>
    </row>
    <row r="58" spans="2:9" s="414" customFormat="1" ht="14.15" x14ac:dyDescent="0.35">
      <c r="B58" s="377"/>
      <c r="C58" s="377"/>
      <c r="D58" s="377"/>
      <c r="E58" s="377"/>
      <c r="F58" s="377"/>
      <c r="G58" s="377"/>
      <c r="H58" s="377"/>
      <c r="I58" s="377"/>
    </row>
    <row r="59" spans="2:9" s="414" customFormat="1" ht="14.15" x14ac:dyDescent="0.35">
      <c r="B59" s="377"/>
      <c r="C59" s="378"/>
      <c r="D59" s="378"/>
      <c r="E59" s="378"/>
      <c r="F59" s="378"/>
      <c r="G59" s="378"/>
      <c r="H59" s="378"/>
      <c r="I59" s="377"/>
    </row>
    <row r="60" spans="2:9" s="414" customFormat="1" ht="15.75" customHeight="1" x14ac:dyDescent="0.35">
      <c r="B60" s="377"/>
      <c r="C60" s="378"/>
      <c r="D60" s="378"/>
      <c r="E60" s="378"/>
      <c r="F60" s="378"/>
      <c r="G60" s="378"/>
      <c r="H60" s="378"/>
      <c r="I60" s="377"/>
    </row>
    <row r="61" spans="2:9" s="414" customFormat="1" ht="15.75" customHeight="1" x14ac:dyDescent="0.35">
      <c r="B61" s="377"/>
      <c r="C61" s="418"/>
      <c r="D61" s="418"/>
      <c r="E61" s="418"/>
      <c r="F61" s="418"/>
      <c r="G61" s="418"/>
      <c r="H61" s="418"/>
      <c r="I61" s="377"/>
    </row>
    <row r="62" spans="2:9" s="414" customFormat="1" ht="15.75" customHeight="1" x14ac:dyDescent="0.35">
      <c r="B62" s="377"/>
      <c r="C62" s="377"/>
      <c r="D62" s="377"/>
      <c r="E62" s="419"/>
      <c r="F62" s="419"/>
      <c r="G62" s="419"/>
      <c r="H62" s="419"/>
      <c r="I62" s="377"/>
    </row>
    <row r="63" spans="2:9" s="414" customFormat="1" ht="15.75" customHeight="1" x14ac:dyDescent="0.35">
      <c r="B63" s="377"/>
      <c r="C63" s="377"/>
      <c r="D63" s="377"/>
      <c r="E63" s="420"/>
      <c r="F63" s="420"/>
      <c r="G63" s="420"/>
      <c r="H63" s="420"/>
      <c r="I63" s="377"/>
    </row>
    <row r="64" spans="2:9" s="414" customFormat="1" x14ac:dyDescent="0.35">
      <c r="B64" s="377"/>
      <c r="C64" s="377"/>
      <c r="D64" s="377"/>
      <c r="E64" s="377"/>
      <c r="F64" s="377"/>
      <c r="G64" s="377"/>
      <c r="H64" s="377"/>
      <c r="I64" s="377"/>
    </row>
    <row r="65" spans="2:9" s="414" customFormat="1" ht="15.75" customHeight="1" x14ac:dyDescent="0.35">
      <c r="B65" s="377"/>
      <c r="C65" s="378"/>
      <c r="D65" s="378"/>
      <c r="E65" s="378"/>
      <c r="F65" s="378"/>
      <c r="G65" s="378"/>
      <c r="H65" s="378"/>
      <c r="I65" s="377"/>
    </row>
    <row r="66" spans="2:9" s="414" customFormat="1" ht="15.75" customHeight="1" x14ac:dyDescent="0.35">
      <c r="B66" s="377"/>
      <c r="C66" s="378"/>
      <c r="D66" s="378"/>
      <c r="E66" s="378"/>
      <c r="F66" s="378"/>
      <c r="G66" s="378"/>
      <c r="H66" s="378"/>
      <c r="I66" s="377"/>
    </row>
    <row r="67" spans="2:9" s="414" customFormat="1" x14ac:dyDescent="0.35">
      <c r="B67" s="377"/>
      <c r="C67" s="378"/>
      <c r="D67" s="378"/>
      <c r="E67" s="378"/>
      <c r="F67" s="378"/>
      <c r="G67" s="378"/>
      <c r="H67" s="378"/>
      <c r="I67" s="377"/>
    </row>
    <row r="68" spans="2:9" s="414" customFormat="1" ht="15.75" customHeight="1" x14ac:dyDescent="0.35">
      <c r="B68" s="377"/>
      <c r="C68" s="377"/>
      <c r="D68" s="377"/>
      <c r="E68" s="419"/>
      <c r="F68" s="419"/>
      <c r="G68" s="419"/>
      <c r="H68" s="419"/>
      <c r="I68" s="377"/>
    </row>
    <row r="69" spans="2:9" s="414" customFormat="1" ht="15.75" customHeight="1" x14ac:dyDescent="0.35">
      <c r="B69" s="377"/>
      <c r="C69" s="377"/>
      <c r="D69" s="377"/>
      <c r="E69" s="420"/>
      <c r="F69" s="420"/>
      <c r="G69" s="420"/>
      <c r="H69" s="420"/>
      <c r="I69" s="377"/>
    </row>
    <row r="70" spans="2:9" s="414" customFormat="1" x14ac:dyDescent="0.35">
      <c r="B70" s="377"/>
      <c r="C70" s="377"/>
      <c r="D70" s="377"/>
      <c r="E70" s="377"/>
      <c r="F70" s="377"/>
      <c r="G70" s="377"/>
      <c r="H70" s="377"/>
      <c r="I70" s="377"/>
    </row>
    <row r="71" spans="2:9" s="414" customFormat="1" x14ac:dyDescent="0.35">
      <c r="B71" s="377"/>
      <c r="C71" s="378"/>
      <c r="D71" s="378"/>
      <c r="E71" s="377"/>
      <c r="F71" s="377"/>
      <c r="G71" s="377"/>
      <c r="H71" s="377"/>
      <c r="I71" s="377"/>
    </row>
    <row r="72" spans="2:9" s="414" customFormat="1" ht="15.75" customHeight="1" x14ac:dyDescent="0.35">
      <c r="B72" s="377"/>
      <c r="C72" s="378"/>
      <c r="D72" s="378"/>
      <c r="E72" s="420"/>
      <c r="F72" s="420"/>
      <c r="G72" s="420"/>
      <c r="H72" s="420"/>
      <c r="I72" s="377"/>
    </row>
    <row r="73" spans="2:9" s="414" customFormat="1" ht="15.75" customHeight="1" x14ac:dyDescent="0.35">
      <c r="B73" s="377"/>
      <c r="C73" s="377"/>
      <c r="D73" s="377"/>
      <c r="E73" s="420"/>
      <c r="F73" s="420"/>
      <c r="G73" s="420"/>
      <c r="H73" s="420"/>
      <c r="I73" s="377"/>
    </row>
    <row r="74" spans="2:9" s="414" customFormat="1" x14ac:dyDescent="0.35">
      <c r="B74" s="377"/>
      <c r="C74" s="380"/>
      <c r="D74" s="377"/>
      <c r="E74" s="380"/>
      <c r="F74" s="380"/>
      <c r="G74" s="380"/>
      <c r="H74" s="380"/>
      <c r="I74" s="377"/>
    </row>
    <row r="75" spans="2:9" s="414" customFormat="1" x14ac:dyDescent="0.35">
      <c r="B75" s="377"/>
      <c r="C75" s="380"/>
      <c r="D75" s="380"/>
      <c r="E75" s="380"/>
      <c r="F75" s="380"/>
      <c r="G75" s="380"/>
      <c r="H75" s="380"/>
      <c r="I75" s="381"/>
    </row>
  </sheetData>
  <mergeCells count="25">
    <mergeCell ref="I53:I55"/>
    <mergeCell ref="C47:C49"/>
    <mergeCell ref="C44:C46"/>
    <mergeCell ref="C41:C43"/>
    <mergeCell ref="C50:C52"/>
    <mergeCell ref="C53:C55"/>
    <mergeCell ref="I44:I46"/>
    <mergeCell ref="I47:I49"/>
    <mergeCell ref="I50:I52"/>
    <mergeCell ref="D41:G55"/>
    <mergeCell ref="C3:H3"/>
    <mergeCell ref="I41:I43"/>
    <mergeCell ref="B4:H4"/>
    <mergeCell ref="C8:D8"/>
    <mergeCell ref="C9:H9"/>
    <mergeCell ref="C6:F6"/>
    <mergeCell ref="G6:H6"/>
    <mergeCell ref="C28:H36"/>
    <mergeCell ref="C5:F5"/>
    <mergeCell ref="G5:H5"/>
    <mergeCell ref="C39:E39"/>
    <mergeCell ref="C38:D38"/>
    <mergeCell ref="C11:H11"/>
    <mergeCell ref="F39:G39"/>
    <mergeCell ref="C17:H17"/>
  </mergeCells>
  <dataValidations disablePrompts="1" count="2">
    <dataValidation type="list" allowBlank="1" showInputMessage="1" showErrorMessage="1" sqref="E72:H72" xr:uid="{00000000-0002-0000-0200-000000000000}">
      <formula1>$M$79:$M$80</formula1>
    </dataValidation>
    <dataValidation type="whole" allowBlank="1" showInputMessage="1" showErrorMessage="1" sqref="E68:H68 E62:H62" xr:uid="{00000000-0002-0000-0200-000001000000}">
      <formula1>-999999999</formula1>
      <formula2>999999999</formula2>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57"/>
  <sheetViews>
    <sheetView tabSelected="1" topLeftCell="A31" zoomScale="80" zoomScaleNormal="80" workbookViewId="0">
      <selection activeCell="D10" sqref="D10"/>
    </sheetView>
  </sheetViews>
  <sheetFormatPr defaultColWidth="9.1796875" defaultRowHeight="14.5" x14ac:dyDescent="0.35"/>
  <cols>
    <col min="1" max="2" width="1.81640625" style="348" customWidth="1"/>
    <col min="3" max="3" width="51.1796875" style="349" customWidth="1"/>
    <col min="4" max="4" width="87.26953125" style="348" customWidth="1"/>
    <col min="5" max="5" width="22.81640625" style="348" customWidth="1"/>
    <col min="6" max="6" width="68.7265625" style="348" customWidth="1"/>
    <col min="7" max="7" width="2" style="348" customWidth="1"/>
    <col min="8" max="8" width="1.54296875" style="348" customWidth="1"/>
    <col min="9" max="16384" width="9.1796875" style="348"/>
  </cols>
  <sheetData>
    <row r="1" spans="2:7" ht="14.65" thickBot="1" x14ac:dyDescent="0.4"/>
    <row r="2" spans="2:7" ht="14.65" thickBot="1" x14ac:dyDescent="0.4">
      <c r="B2" s="350"/>
      <c r="C2" s="351"/>
      <c r="D2" s="352"/>
      <c r="E2" s="352"/>
      <c r="F2" s="352"/>
      <c r="G2" s="353"/>
    </row>
    <row r="3" spans="2:7" ht="20.149999999999999" thickBot="1" x14ac:dyDescent="0.5">
      <c r="B3" s="354"/>
      <c r="C3" s="687" t="s">
        <v>221</v>
      </c>
      <c r="D3" s="688"/>
      <c r="E3" s="688"/>
      <c r="F3" s="689"/>
      <c r="G3" s="355"/>
    </row>
    <row r="4" spans="2:7" ht="14.15" x14ac:dyDescent="0.35">
      <c r="B4" s="691"/>
      <c r="C4" s="692"/>
      <c r="D4" s="692"/>
      <c r="E4" s="692"/>
      <c r="F4" s="692"/>
      <c r="G4" s="355"/>
    </row>
    <row r="5" spans="2:7" ht="14.15" x14ac:dyDescent="0.35">
      <c r="B5" s="356"/>
      <c r="C5" s="719"/>
      <c r="D5" s="719"/>
      <c r="E5" s="719"/>
      <c r="F5" s="719"/>
      <c r="G5" s="355"/>
    </row>
    <row r="6" spans="2:7" ht="14.15" x14ac:dyDescent="0.35">
      <c r="B6" s="356"/>
      <c r="C6" s="357"/>
      <c r="D6" s="358"/>
      <c r="E6" s="359"/>
      <c r="F6" s="358"/>
      <c r="G6" s="355"/>
    </row>
    <row r="7" spans="2:7" ht="14.15" x14ac:dyDescent="0.35">
      <c r="B7" s="356"/>
      <c r="C7" s="693" t="s">
        <v>232</v>
      </c>
      <c r="D7" s="693"/>
      <c r="E7" s="360"/>
      <c r="F7" s="358"/>
      <c r="G7" s="355"/>
    </row>
    <row r="8" spans="2:7" ht="14.65" thickBot="1" x14ac:dyDescent="0.4">
      <c r="B8" s="356"/>
      <c r="C8" s="720" t="s">
        <v>296</v>
      </c>
      <c r="D8" s="720"/>
      <c r="E8" s="720"/>
      <c r="F8" s="720"/>
      <c r="G8" s="355"/>
    </row>
    <row r="9" spans="2:7" ht="14.65" thickBot="1" x14ac:dyDescent="0.4">
      <c r="B9" s="356"/>
      <c r="C9" s="361" t="s">
        <v>234</v>
      </c>
      <c r="D9" s="362" t="s">
        <v>233</v>
      </c>
      <c r="E9" s="717" t="s">
        <v>276</v>
      </c>
      <c r="F9" s="718"/>
      <c r="G9" s="355"/>
    </row>
    <row r="10" spans="2:7" ht="317.25" customHeight="1" thickBot="1" x14ac:dyDescent="0.4">
      <c r="B10" s="356"/>
      <c r="C10" s="363" t="s">
        <v>710</v>
      </c>
      <c r="D10" s="363" t="s">
        <v>983</v>
      </c>
      <c r="E10" s="722" t="s">
        <v>984</v>
      </c>
      <c r="F10" s="723"/>
      <c r="G10" s="355"/>
    </row>
    <row r="11" spans="2:7" ht="192" customHeight="1" thickBot="1" x14ac:dyDescent="0.4">
      <c r="B11" s="356"/>
      <c r="C11" s="364" t="s">
        <v>744</v>
      </c>
      <c r="D11" s="365" t="s">
        <v>985</v>
      </c>
      <c r="E11" s="724" t="s">
        <v>797</v>
      </c>
      <c r="F11" s="725"/>
      <c r="G11" s="355"/>
    </row>
    <row r="12" spans="2:7" ht="140.25" customHeight="1" thickBot="1" x14ac:dyDescent="0.4">
      <c r="B12" s="356"/>
      <c r="C12" s="366" t="s">
        <v>745</v>
      </c>
      <c r="D12" s="367" t="s">
        <v>986</v>
      </c>
      <c r="E12" s="724" t="s">
        <v>754</v>
      </c>
      <c r="F12" s="725"/>
      <c r="G12" s="355"/>
    </row>
    <row r="13" spans="2:7" ht="140.25" customHeight="1" thickBot="1" x14ac:dyDescent="0.4">
      <c r="B13" s="356"/>
      <c r="C13" s="368" t="s">
        <v>746</v>
      </c>
      <c r="D13" s="365" t="s">
        <v>987</v>
      </c>
      <c r="E13" s="724" t="s">
        <v>798</v>
      </c>
      <c r="F13" s="725"/>
      <c r="G13" s="355"/>
    </row>
    <row r="14" spans="2:7" ht="111.75" customHeight="1" thickBot="1" x14ac:dyDescent="0.4">
      <c r="B14" s="356"/>
      <c r="C14" s="366" t="s">
        <v>747</v>
      </c>
      <c r="D14" s="367" t="s">
        <v>988</v>
      </c>
      <c r="E14" s="726" t="s">
        <v>748</v>
      </c>
      <c r="F14" s="727"/>
      <c r="G14" s="355"/>
    </row>
    <row r="15" spans="2:7" ht="96.75" customHeight="1" thickBot="1" x14ac:dyDescent="0.4">
      <c r="B15" s="356"/>
      <c r="C15" s="369" t="s">
        <v>749</v>
      </c>
      <c r="D15" s="370" t="s">
        <v>989</v>
      </c>
      <c r="E15" s="726" t="s">
        <v>825</v>
      </c>
      <c r="F15" s="727"/>
      <c r="G15" s="355"/>
    </row>
    <row r="16" spans="2:7" ht="92.25" customHeight="1" thickBot="1" x14ac:dyDescent="0.4">
      <c r="B16" s="356"/>
      <c r="C16" s="369" t="s">
        <v>750</v>
      </c>
      <c r="D16" s="367" t="s">
        <v>990</v>
      </c>
      <c r="E16" s="726" t="s">
        <v>755</v>
      </c>
      <c r="F16" s="727"/>
      <c r="G16" s="355"/>
    </row>
    <row r="17" spans="2:7" ht="103.5" customHeight="1" thickBot="1" x14ac:dyDescent="0.4">
      <c r="B17" s="356"/>
      <c r="C17" s="369" t="s">
        <v>751</v>
      </c>
      <c r="D17" s="367" t="s">
        <v>991</v>
      </c>
      <c r="E17" s="726" t="s">
        <v>799</v>
      </c>
      <c r="F17" s="727"/>
      <c r="G17" s="355"/>
    </row>
    <row r="18" spans="2:7" ht="78.75" customHeight="1" thickBot="1" x14ac:dyDescent="0.4">
      <c r="B18" s="356"/>
      <c r="C18" s="366" t="s">
        <v>752</v>
      </c>
      <c r="D18" s="367" t="s">
        <v>992</v>
      </c>
      <c r="E18" s="726" t="s">
        <v>756</v>
      </c>
      <c r="F18" s="727"/>
      <c r="G18" s="355"/>
    </row>
    <row r="19" spans="2:7" ht="66.75" customHeight="1" thickBot="1" x14ac:dyDescent="0.4">
      <c r="B19" s="356"/>
      <c r="C19" s="371" t="s">
        <v>800</v>
      </c>
      <c r="D19" s="367" t="s">
        <v>993</v>
      </c>
      <c r="E19" s="726" t="s">
        <v>805</v>
      </c>
      <c r="F19" s="727"/>
      <c r="G19" s="355"/>
    </row>
    <row r="20" spans="2:7" ht="77.25" customHeight="1" thickBot="1" x14ac:dyDescent="0.4">
      <c r="B20" s="356"/>
      <c r="C20" s="366" t="s">
        <v>753</v>
      </c>
      <c r="D20" s="367" t="s">
        <v>994</v>
      </c>
      <c r="E20" s="728" t="s">
        <v>801</v>
      </c>
      <c r="F20" s="729"/>
      <c r="G20" s="355"/>
    </row>
    <row r="21" spans="2:7" ht="14.15" x14ac:dyDescent="0.35">
      <c r="B21" s="356"/>
      <c r="C21" s="358"/>
      <c r="D21" s="358"/>
      <c r="E21" s="358"/>
      <c r="F21" s="358"/>
      <c r="G21" s="355"/>
    </row>
    <row r="22" spans="2:7" ht="14.15" x14ac:dyDescent="0.35">
      <c r="B22" s="356"/>
      <c r="C22" s="721" t="s">
        <v>259</v>
      </c>
      <c r="D22" s="721"/>
      <c r="E22" s="721"/>
      <c r="F22" s="721"/>
      <c r="G22" s="355"/>
    </row>
    <row r="23" spans="2:7" ht="14.65" thickBot="1" x14ac:dyDescent="0.4">
      <c r="B23" s="356"/>
      <c r="C23" s="730" t="s">
        <v>274</v>
      </c>
      <c r="D23" s="730"/>
      <c r="E23" s="730"/>
      <c r="F23" s="730"/>
      <c r="G23" s="355"/>
    </row>
    <row r="24" spans="2:7" ht="14.65" thickBot="1" x14ac:dyDescent="0.4">
      <c r="B24" s="356"/>
      <c r="C24" s="362" t="s">
        <v>234</v>
      </c>
      <c r="D24" s="362" t="s">
        <v>233</v>
      </c>
      <c r="E24" s="717" t="s">
        <v>276</v>
      </c>
      <c r="F24" s="718"/>
      <c r="G24" s="355"/>
    </row>
    <row r="25" spans="2:7" ht="80.25" customHeight="1" x14ac:dyDescent="0.35">
      <c r="B25" s="356"/>
      <c r="C25" s="372" t="s">
        <v>803</v>
      </c>
      <c r="D25" s="373" t="s">
        <v>802</v>
      </c>
      <c r="E25" s="731" t="s">
        <v>995</v>
      </c>
      <c r="F25" s="732"/>
      <c r="G25" s="355"/>
    </row>
    <row r="26" spans="2:7" ht="14.15" x14ac:dyDescent="0.35">
      <c r="B26" s="356"/>
      <c r="C26" s="358"/>
      <c r="D26" s="358"/>
      <c r="E26" s="358"/>
      <c r="F26" s="358"/>
      <c r="G26" s="355"/>
    </row>
    <row r="27" spans="2:7" ht="14.15" x14ac:dyDescent="0.35">
      <c r="B27" s="356"/>
      <c r="C27" s="358"/>
      <c r="D27" s="358"/>
      <c r="E27" s="358"/>
      <c r="F27" s="358"/>
      <c r="G27" s="355"/>
    </row>
    <row r="28" spans="2:7" ht="31.5" customHeight="1" x14ac:dyDescent="0.35">
      <c r="B28" s="356"/>
      <c r="C28" s="733" t="s">
        <v>258</v>
      </c>
      <c r="D28" s="733"/>
      <c r="E28" s="733"/>
      <c r="F28" s="733"/>
      <c r="G28" s="355"/>
    </row>
    <row r="29" spans="2:7" ht="14.65" thickBot="1" x14ac:dyDescent="0.4">
      <c r="B29" s="356"/>
      <c r="C29" s="720" t="s">
        <v>277</v>
      </c>
      <c r="D29" s="720"/>
      <c r="E29" s="734"/>
      <c r="F29" s="734"/>
      <c r="G29" s="355"/>
    </row>
    <row r="30" spans="2:7" ht="100" customHeight="1" thickBot="1" x14ac:dyDescent="0.4">
      <c r="B30" s="356"/>
      <c r="C30" s="735" t="s">
        <v>804</v>
      </c>
      <c r="D30" s="736"/>
      <c r="E30" s="736"/>
      <c r="F30" s="737"/>
      <c r="G30" s="355"/>
    </row>
    <row r="31" spans="2:7" ht="14.15" x14ac:dyDescent="0.35">
      <c r="B31" s="356"/>
      <c r="C31" s="358"/>
      <c r="D31" s="358"/>
      <c r="E31" s="358"/>
      <c r="F31" s="358"/>
      <c r="G31" s="355"/>
    </row>
    <row r="32" spans="2:7" ht="14.15" x14ac:dyDescent="0.35">
      <c r="B32" s="356"/>
      <c r="C32" s="358"/>
      <c r="D32" s="358"/>
      <c r="E32" s="358"/>
      <c r="F32" s="358"/>
      <c r="G32" s="355"/>
    </row>
    <row r="33" spans="2:7" ht="14.15" x14ac:dyDescent="0.35">
      <c r="B33" s="356"/>
      <c r="C33" s="358"/>
      <c r="D33" s="358"/>
      <c r="E33" s="358"/>
      <c r="F33" s="358"/>
      <c r="G33" s="355"/>
    </row>
    <row r="34" spans="2:7" ht="14.65" thickBot="1" x14ac:dyDescent="0.4">
      <c r="B34" s="374"/>
      <c r="C34" s="375"/>
      <c r="D34" s="375"/>
      <c r="E34" s="375"/>
      <c r="F34" s="375"/>
      <c r="G34" s="376"/>
    </row>
    <row r="35" spans="2:7" ht="14.15" x14ac:dyDescent="0.35">
      <c r="B35" s="377"/>
      <c r="C35" s="377"/>
      <c r="D35" s="377"/>
      <c r="E35" s="377"/>
      <c r="F35" s="377"/>
      <c r="G35" s="377"/>
    </row>
    <row r="36" spans="2:7" ht="14.15" x14ac:dyDescent="0.35">
      <c r="B36" s="377"/>
      <c r="C36" s="377"/>
      <c r="D36" s="377"/>
      <c r="E36" s="377"/>
      <c r="F36" s="377"/>
      <c r="G36" s="377"/>
    </row>
    <row r="37" spans="2:7" ht="14.15" x14ac:dyDescent="0.35">
      <c r="B37" s="377"/>
      <c r="C37" s="377"/>
      <c r="D37" s="377"/>
      <c r="E37" s="377"/>
      <c r="F37" s="377"/>
      <c r="G37" s="377"/>
    </row>
    <row r="38" spans="2:7" ht="14.15" x14ac:dyDescent="0.35">
      <c r="B38" s="377"/>
      <c r="C38" s="377"/>
      <c r="D38" s="377"/>
      <c r="E38" s="377"/>
      <c r="F38" s="377"/>
      <c r="G38" s="377"/>
    </row>
    <row r="39" spans="2:7" ht="14.15" x14ac:dyDescent="0.35">
      <c r="B39" s="377"/>
      <c r="C39" s="377"/>
      <c r="D39" s="377"/>
      <c r="E39" s="377"/>
      <c r="F39" s="377"/>
      <c r="G39" s="377"/>
    </row>
    <row r="40" spans="2:7" ht="14.15" x14ac:dyDescent="0.35">
      <c r="B40" s="377"/>
      <c r="C40" s="377"/>
      <c r="D40" s="377"/>
      <c r="E40" s="377"/>
      <c r="F40" s="377"/>
      <c r="G40" s="377"/>
    </row>
    <row r="41" spans="2:7" ht="14.15" x14ac:dyDescent="0.35">
      <c r="B41" s="377"/>
      <c r="C41" s="738"/>
      <c r="D41" s="738"/>
      <c r="E41" s="378"/>
      <c r="F41" s="377"/>
      <c r="G41" s="377"/>
    </row>
    <row r="42" spans="2:7" ht="14.15" x14ac:dyDescent="0.35">
      <c r="B42" s="377"/>
      <c r="C42" s="738"/>
      <c r="D42" s="738"/>
      <c r="E42" s="378"/>
      <c r="F42" s="377"/>
      <c r="G42" s="377"/>
    </row>
    <row r="43" spans="2:7" ht="14.15" x14ac:dyDescent="0.35">
      <c r="B43" s="377"/>
      <c r="C43" s="739"/>
      <c r="D43" s="739"/>
      <c r="E43" s="739"/>
      <c r="F43" s="739"/>
      <c r="G43" s="377"/>
    </row>
    <row r="44" spans="2:7" ht="14.15" x14ac:dyDescent="0.35">
      <c r="B44" s="377"/>
      <c r="C44" s="740"/>
      <c r="D44" s="740"/>
      <c r="E44" s="741"/>
      <c r="F44" s="741"/>
      <c r="G44" s="377"/>
    </row>
    <row r="45" spans="2:7" ht="14.15" x14ac:dyDescent="0.35">
      <c r="B45" s="377"/>
      <c r="C45" s="740"/>
      <c r="D45" s="740"/>
      <c r="E45" s="742"/>
      <c r="F45" s="742"/>
      <c r="G45" s="377"/>
    </row>
    <row r="46" spans="2:7" ht="14.15" x14ac:dyDescent="0.35">
      <c r="B46" s="377"/>
      <c r="C46" s="377"/>
      <c r="D46" s="377"/>
      <c r="E46" s="377"/>
      <c r="F46" s="377"/>
      <c r="G46" s="377"/>
    </row>
    <row r="47" spans="2:7" ht="14.15" x14ac:dyDescent="0.35">
      <c r="B47" s="377"/>
      <c r="C47" s="738"/>
      <c r="D47" s="738"/>
      <c r="E47" s="378"/>
      <c r="F47" s="377"/>
      <c r="G47" s="377"/>
    </row>
    <row r="48" spans="2:7" ht="14.15" x14ac:dyDescent="0.35">
      <c r="B48" s="377"/>
      <c r="C48" s="738"/>
      <c r="D48" s="738"/>
      <c r="E48" s="743"/>
      <c r="F48" s="743"/>
      <c r="G48" s="377"/>
    </row>
    <row r="49" spans="2:7" ht="14.15" x14ac:dyDescent="0.35">
      <c r="B49" s="377"/>
      <c r="C49" s="378"/>
      <c r="D49" s="378"/>
      <c r="E49" s="378"/>
      <c r="F49" s="378"/>
      <c r="G49" s="377"/>
    </row>
    <row r="50" spans="2:7" ht="14.15" x14ac:dyDescent="0.35">
      <c r="B50" s="377"/>
      <c r="C50" s="740"/>
      <c r="D50" s="740"/>
      <c r="E50" s="741"/>
      <c r="F50" s="741"/>
      <c r="G50" s="377"/>
    </row>
    <row r="51" spans="2:7" ht="14.15" x14ac:dyDescent="0.35">
      <c r="B51" s="377"/>
      <c r="C51" s="740"/>
      <c r="D51" s="740"/>
      <c r="E51" s="742"/>
      <c r="F51" s="742"/>
      <c r="G51" s="377"/>
    </row>
    <row r="52" spans="2:7" ht="14.15" x14ac:dyDescent="0.35">
      <c r="B52" s="377"/>
      <c r="C52" s="377"/>
      <c r="D52" s="377"/>
      <c r="E52" s="377"/>
      <c r="F52" s="377"/>
      <c r="G52" s="377"/>
    </row>
    <row r="53" spans="2:7" ht="14.15" x14ac:dyDescent="0.35">
      <c r="B53" s="377"/>
      <c r="C53" s="738"/>
      <c r="D53" s="738"/>
      <c r="E53" s="377"/>
      <c r="F53" s="377"/>
      <c r="G53" s="377"/>
    </row>
    <row r="54" spans="2:7" ht="14.15" x14ac:dyDescent="0.35">
      <c r="B54" s="377"/>
      <c r="C54" s="738"/>
      <c r="D54" s="738"/>
      <c r="E54" s="742"/>
      <c r="F54" s="742"/>
      <c r="G54" s="377"/>
    </row>
    <row r="55" spans="2:7" ht="14.15" x14ac:dyDescent="0.35">
      <c r="B55" s="377"/>
      <c r="C55" s="740"/>
      <c r="D55" s="740"/>
      <c r="E55" s="742"/>
      <c r="F55" s="742"/>
      <c r="G55" s="377"/>
    </row>
    <row r="56" spans="2:7" ht="14.15" x14ac:dyDescent="0.35">
      <c r="B56" s="377"/>
      <c r="C56" s="379"/>
      <c r="D56" s="377"/>
      <c r="E56" s="380"/>
      <c r="F56" s="377"/>
      <c r="G56" s="377"/>
    </row>
    <row r="57" spans="2:7" ht="14.15" x14ac:dyDescent="0.35">
      <c r="B57" s="377"/>
      <c r="C57" s="379"/>
      <c r="D57" s="380"/>
      <c r="E57" s="380"/>
      <c r="F57" s="380"/>
      <c r="G57" s="381"/>
    </row>
  </sheetData>
  <mergeCells count="44">
    <mergeCell ref="C55:D55"/>
    <mergeCell ref="E55:F55"/>
    <mergeCell ref="C45:D45"/>
    <mergeCell ref="E45:F45"/>
    <mergeCell ref="C47:D47"/>
    <mergeCell ref="C48:D48"/>
    <mergeCell ref="E48:F48"/>
    <mergeCell ref="C50:D50"/>
    <mergeCell ref="E50:F50"/>
    <mergeCell ref="C51:D51"/>
    <mergeCell ref="E51:F51"/>
    <mergeCell ref="C53:D53"/>
    <mergeCell ref="C54:D54"/>
    <mergeCell ref="E54:F54"/>
    <mergeCell ref="C30:F30"/>
    <mergeCell ref="C41:D41"/>
    <mergeCell ref="C42:D42"/>
    <mergeCell ref="C43:F43"/>
    <mergeCell ref="C44:D44"/>
    <mergeCell ref="E44:F44"/>
    <mergeCell ref="C23:F23"/>
    <mergeCell ref="E24:F24"/>
    <mergeCell ref="E25:F25"/>
    <mergeCell ref="C28:F28"/>
    <mergeCell ref="C29:D29"/>
    <mergeCell ref="E29:F29"/>
    <mergeCell ref="C22:F22"/>
    <mergeCell ref="E10:F10"/>
    <mergeCell ref="E11:F11"/>
    <mergeCell ref="E12:F12"/>
    <mergeCell ref="E13:F13"/>
    <mergeCell ref="E14:F14"/>
    <mergeCell ref="E15:F15"/>
    <mergeCell ref="E16:F16"/>
    <mergeCell ref="E17:F17"/>
    <mergeCell ref="E18:F18"/>
    <mergeCell ref="E19:F19"/>
    <mergeCell ref="E20:F20"/>
    <mergeCell ref="E9:F9"/>
    <mergeCell ref="C3:F3"/>
    <mergeCell ref="B4:F4"/>
    <mergeCell ref="C5:F5"/>
    <mergeCell ref="C7:D7"/>
    <mergeCell ref="C8:F8"/>
  </mergeCells>
  <dataValidations count="2">
    <dataValidation type="list" allowBlank="1" showInputMessage="1" showErrorMessage="1" sqref="E54" xr:uid="{00000000-0002-0000-0300-000000000000}">
      <formula1>$K$61:$K$62</formula1>
    </dataValidation>
    <dataValidation type="whole" allowBlank="1" showInputMessage="1" showErrorMessage="1" sqref="E50 E44" xr:uid="{00000000-0002-0000-0300-000001000000}">
      <formula1>-999999999</formula1>
      <formula2>999999999</formula2>
    </dataValidation>
  </dataValidations>
  <pageMargins left="0.25" right="0.25" top="0.17" bottom="0.17" header="0.17" footer="0.17"/>
  <pageSetup scale="5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Z106"/>
  <sheetViews>
    <sheetView topLeftCell="A22" zoomScale="50" zoomScaleNormal="50" workbookViewId="0">
      <selection activeCell="H60" sqref="H60"/>
    </sheetView>
  </sheetViews>
  <sheetFormatPr defaultColWidth="9.1796875" defaultRowHeight="15.5" x14ac:dyDescent="0.35"/>
  <cols>
    <col min="1" max="1" width="2.1796875" style="3" customWidth="1"/>
    <col min="2" max="2" width="2.36328125" style="3" customWidth="1"/>
    <col min="3" max="3" width="31.1796875" style="56" customWidth="1"/>
    <col min="4" max="4" width="20.7265625" style="3" customWidth="1"/>
    <col min="5" max="5" width="14.54296875" style="3" customWidth="1"/>
    <col min="6" max="6" width="18.81640625" style="3" customWidth="1"/>
    <col min="7" max="7" width="52" style="3" customWidth="1"/>
    <col min="8" max="8" width="111.1796875" style="3" customWidth="1"/>
    <col min="9" max="9" width="33.26953125" style="3" customWidth="1"/>
    <col min="10" max="10" width="2.54296875" style="3" customWidth="1"/>
    <col min="11" max="11" width="2" style="3" customWidth="1"/>
    <col min="12" max="12" width="40.54296875" style="3" customWidth="1"/>
    <col min="13" max="16384" width="9.1796875" style="3"/>
  </cols>
  <sheetData>
    <row r="1" spans="2:52" thickBot="1" x14ac:dyDescent="0.4">
      <c r="H1" s="261"/>
      <c r="I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row>
    <row r="2" spans="2:52" thickBot="1" x14ac:dyDescent="0.4">
      <c r="B2" s="262"/>
      <c r="C2" s="263"/>
      <c r="D2" s="264"/>
      <c r="E2" s="264"/>
      <c r="F2" s="264"/>
      <c r="G2" s="264"/>
      <c r="H2" s="265"/>
      <c r="I2" s="265"/>
      <c r="J2" s="266"/>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row>
    <row r="3" spans="2:52" thickBot="1" x14ac:dyDescent="0.4">
      <c r="B3" s="267"/>
      <c r="C3" s="641" t="s">
        <v>255</v>
      </c>
      <c r="D3" s="642"/>
      <c r="E3" s="642"/>
      <c r="F3" s="642"/>
      <c r="G3" s="642"/>
      <c r="H3" s="642"/>
      <c r="I3" s="643"/>
      <c r="J3" s="268"/>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row>
    <row r="4" spans="2:52" ht="15" customHeight="1" x14ac:dyDescent="0.35">
      <c r="B4" s="269"/>
      <c r="C4" s="744" t="s">
        <v>222</v>
      </c>
      <c r="D4" s="744"/>
      <c r="E4" s="744"/>
      <c r="F4" s="744"/>
      <c r="G4" s="744"/>
      <c r="H4" s="744"/>
      <c r="I4" s="744"/>
      <c r="J4" s="270"/>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row>
    <row r="5" spans="2:52" ht="15" customHeight="1" x14ac:dyDescent="0.35">
      <c r="B5" s="269"/>
      <c r="C5" s="271"/>
      <c r="D5" s="271"/>
      <c r="E5" s="271"/>
      <c r="F5" s="271"/>
      <c r="G5" s="271"/>
      <c r="H5" s="271"/>
      <c r="I5" s="271"/>
      <c r="J5" s="270"/>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row>
    <row r="6" spans="2:52" ht="15" x14ac:dyDescent="0.35">
      <c r="B6" s="269"/>
      <c r="C6" s="70"/>
      <c r="D6" s="272"/>
      <c r="E6" s="272"/>
      <c r="F6" s="272"/>
      <c r="G6" s="272"/>
      <c r="H6" s="273"/>
      <c r="I6" s="273"/>
      <c r="J6" s="270"/>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row>
    <row r="7" spans="2:52" ht="15.75" customHeight="1" thickBot="1" x14ac:dyDescent="0.4">
      <c r="B7" s="269"/>
      <c r="C7" s="70"/>
      <c r="D7" s="745" t="s">
        <v>256</v>
      </c>
      <c r="E7" s="745"/>
      <c r="F7" s="745" t="s">
        <v>260</v>
      </c>
      <c r="G7" s="745"/>
      <c r="H7" s="274" t="s">
        <v>261</v>
      </c>
      <c r="I7" s="274" t="s">
        <v>231</v>
      </c>
      <c r="J7" s="270"/>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row>
    <row r="8" spans="2:52" s="56" customFormat="1" ht="255" customHeight="1" thickBot="1" x14ac:dyDescent="0.4">
      <c r="B8" s="275"/>
      <c r="C8" s="276" t="s">
        <v>253</v>
      </c>
      <c r="D8" s="746" t="s">
        <v>806</v>
      </c>
      <c r="E8" s="747"/>
      <c r="F8" s="748" t="s">
        <v>711</v>
      </c>
      <c r="G8" s="749"/>
      <c r="H8" s="277" t="s">
        <v>819</v>
      </c>
      <c r="I8" s="278" t="s">
        <v>20</v>
      </c>
      <c r="J8" s="279"/>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row>
    <row r="9" spans="2:52" s="56" customFormat="1" ht="76.5" customHeight="1" thickBot="1" x14ac:dyDescent="0.4">
      <c r="B9" s="275"/>
      <c r="C9" s="276"/>
      <c r="D9" s="752" t="s">
        <v>712</v>
      </c>
      <c r="E9" s="753"/>
      <c r="F9" s="753"/>
      <c r="G9" s="753"/>
      <c r="H9" s="753"/>
      <c r="I9" s="754"/>
      <c r="J9" s="279"/>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row>
    <row r="10" spans="2:52" s="56" customFormat="1" ht="189.75" customHeight="1" thickBot="1" x14ac:dyDescent="0.4">
      <c r="B10" s="275"/>
      <c r="C10" s="276"/>
      <c r="D10" s="746" t="s">
        <v>713</v>
      </c>
      <c r="E10" s="747"/>
      <c r="F10" s="755" t="s">
        <v>820</v>
      </c>
      <c r="G10" s="756"/>
      <c r="H10" s="280" t="s">
        <v>821</v>
      </c>
      <c r="I10" s="281" t="s">
        <v>20</v>
      </c>
      <c r="J10" s="279"/>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row>
    <row r="11" spans="2:52" s="56" customFormat="1" ht="40" customHeight="1" thickBot="1" x14ac:dyDescent="0.4">
      <c r="B11" s="275"/>
      <c r="C11" s="276"/>
      <c r="D11" s="752" t="s">
        <v>714</v>
      </c>
      <c r="E11" s="757"/>
      <c r="F11" s="757"/>
      <c r="G11" s="757"/>
      <c r="H11" s="757"/>
      <c r="I11" s="758"/>
      <c r="J11" s="279"/>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row>
    <row r="12" spans="2:52" s="56" customFormat="1" ht="206.25" customHeight="1" thickBot="1" x14ac:dyDescent="0.4">
      <c r="B12" s="275"/>
      <c r="C12" s="74"/>
      <c r="D12" s="759" t="s">
        <v>715</v>
      </c>
      <c r="E12" s="760"/>
      <c r="F12" s="748" t="s">
        <v>809</v>
      </c>
      <c r="G12" s="749"/>
      <c r="H12" s="282" t="s">
        <v>716</v>
      </c>
      <c r="I12" s="281" t="s">
        <v>20</v>
      </c>
      <c r="J12" s="279"/>
      <c r="L12" s="261"/>
      <c r="M12" s="261"/>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row>
    <row r="13" spans="2:52" s="56" customFormat="1" ht="180.75" customHeight="1" thickBot="1" x14ac:dyDescent="0.4">
      <c r="B13" s="275"/>
      <c r="C13" s="74"/>
      <c r="D13" s="748" t="s">
        <v>811</v>
      </c>
      <c r="E13" s="749"/>
      <c r="F13" s="748" t="s">
        <v>812</v>
      </c>
      <c r="G13" s="749"/>
      <c r="H13" s="283" t="s">
        <v>717</v>
      </c>
      <c r="I13" s="278" t="s">
        <v>20</v>
      </c>
      <c r="J13" s="279"/>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row>
    <row r="14" spans="2:52" s="56" customFormat="1" ht="233.25" customHeight="1" thickBot="1" x14ac:dyDescent="0.4">
      <c r="B14" s="275"/>
      <c r="C14" s="74"/>
      <c r="D14" s="748" t="s">
        <v>718</v>
      </c>
      <c r="E14" s="749"/>
      <c r="F14" s="755" t="s">
        <v>719</v>
      </c>
      <c r="G14" s="756"/>
      <c r="H14" s="282" t="s">
        <v>720</v>
      </c>
      <c r="I14" s="278" t="s">
        <v>20</v>
      </c>
      <c r="J14" s="279"/>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row>
    <row r="15" spans="2:52" s="56" customFormat="1" ht="51.75" customHeight="1" thickBot="1" x14ac:dyDescent="0.45">
      <c r="B15" s="275"/>
      <c r="C15" s="74"/>
      <c r="D15" s="761" t="s">
        <v>721</v>
      </c>
      <c r="E15" s="762"/>
      <c r="F15" s="762"/>
      <c r="G15" s="762"/>
      <c r="H15" s="762"/>
      <c r="I15" s="762"/>
      <c r="J15" s="284"/>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row>
    <row r="16" spans="2:52" s="56" customFormat="1" ht="391.5" customHeight="1" thickBot="1" x14ac:dyDescent="0.4">
      <c r="B16" s="275"/>
      <c r="C16" s="74"/>
      <c r="D16" s="750" t="s">
        <v>722</v>
      </c>
      <c r="E16" s="751"/>
      <c r="F16" s="748" t="s">
        <v>723</v>
      </c>
      <c r="G16" s="749"/>
      <c r="H16" s="282" t="s">
        <v>849</v>
      </c>
      <c r="I16" s="281" t="s">
        <v>724</v>
      </c>
      <c r="J16" s="279"/>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row>
    <row r="17" spans="2:52" s="56" customFormat="1" ht="361.5" customHeight="1" thickBot="1" x14ac:dyDescent="0.4">
      <c r="B17" s="275"/>
      <c r="C17" s="74"/>
      <c r="D17" s="748" t="s">
        <v>816</v>
      </c>
      <c r="E17" s="749"/>
      <c r="F17" s="748" t="s">
        <v>725</v>
      </c>
      <c r="G17" s="749"/>
      <c r="H17" s="285" t="s">
        <v>970</v>
      </c>
      <c r="I17" s="281" t="s">
        <v>20</v>
      </c>
      <c r="J17" s="279"/>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row>
    <row r="18" spans="2:52" s="56" customFormat="1" ht="243" customHeight="1" thickBot="1" x14ac:dyDescent="0.4">
      <c r="B18" s="275"/>
      <c r="C18" s="74"/>
      <c r="D18" s="766" t="s">
        <v>726</v>
      </c>
      <c r="E18" s="767"/>
      <c r="F18" s="748" t="s">
        <v>727</v>
      </c>
      <c r="G18" s="749"/>
      <c r="H18" s="282" t="s">
        <v>822</v>
      </c>
      <c r="I18" s="281" t="s">
        <v>728</v>
      </c>
      <c r="J18" s="279"/>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row>
    <row r="19" spans="2:52" s="56" customFormat="1" ht="290.25" customHeight="1" thickBot="1" x14ac:dyDescent="0.4">
      <c r="B19" s="275"/>
      <c r="C19" s="74"/>
      <c r="D19" s="750" t="s">
        <v>729</v>
      </c>
      <c r="E19" s="751"/>
      <c r="F19" s="748" t="s">
        <v>818</v>
      </c>
      <c r="G19" s="749"/>
      <c r="H19" s="282" t="s">
        <v>730</v>
      </c>
      <c r="I19" s="286" t="s">
        <v>728</v>
      </c>
      <c r="J19" s="279"/>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row>
    <row r="20" spans="2:52" s="56" customFormat="1" ht="26.25" customHeight="1" x14ac:dyDescent="0.35">
      <c r="B20" s="275"/>
      <c r="C20" s="74"/>
      <c r="D20" s="768" t="s">
        <v>731</v>
      </c>
      <c r="E20" s="769"/>
      <c r="F20" s="769"/>
      <c r="G20" s="769"/>
      <c r="H20" s="769"/>
      <c r="I20" s="770"/>
      <c r="J20" s="279"/>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row>
    <row r="21" spans="2:52" s="56" customFormat="1" ht="330" customHeight="1" thickBot="1" x14ac:dyDescent="0.4">
      <c r="B21" s="275"/>
      <c r="C21" s="74"/>
      <c r="D21" s="771" t="s">
        <v>732</v>
      </c>
      <c r="E21" s="771"/>
      <c r="F21" s="772" t="s">
        <v>733</v>
      </c>
      <c r="G21" s="772"/>
      <c r="H21" s="101" t="s">
        <v>734</v>
      </c>
      <c r="I21" s="287" t="s">
        <v>728</v>
      </c>
      <c r="J21" s="279"/>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row>
    <row r="22" spans="2:52" s="56" customFormat="1" thickBot="1" x14ac:dyDescent="0.4">
      <c r="B22" s="275"/>
      <c r="C22" s="74"/>
      <c r="D22" s="71"/>
      <c r="E22" s="288"/>
      <c r="F22" s="773"/>
      <c r="G22" s="774"/>
      <c r="H22" s="289"/>
      <c r="I22" s="290"/>
      <c r="J22" s="279"/>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row>
    <row r="23" spans="2:52" s="56" customFormat="1" ht="17.649999999999999" x14ac:dyDescent="0.35">
      <c r="B23" s="275"/>
      <c r="C23" s="74"/>
      <c r="D23" s="71"/>
      <c r="E23" s="71"/>
      <c r="F23" s="71"/>
      <c r="G23" s="71"/>
      <c r="H23" s="291" t="s">
        <v>257</v>
      </c>
      <c r="I23" s="292" t="s">
        <v>735</v>
      </c>
      <c r="J23" s="279"/>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row>
    <row r="24" spans="2:52" s="56" customFormat="1" ht="13.5" customHeight="1" thickBot="1" x14ac:dyDescent="0.4">
      <c r="B24" s="275"/>
      <c r="C24" s="74"/>
      <c r="D24" s="293" t="s">
        <v>741</v>
      </c>
      <c r="E24" s="71"/>
      <c r="F24" s="71"/>
      <c r="G24" s="71"/>
      <c r="H24" s="294"/>
      <c r="I24" s="293"/>
      <c r="J24" s="279"/>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row>
    <row r="25" spans="2:52" s="56" customFormat="1" ht="30.75" customHeight="1" thickBot="1" x14ac:dyDescent="0.4">
      <c r="B25" s="275"/>
      <c r="C25" s="295"/>
      <c r="D25" s="296" t="s">
        <v>60</v>
      </c>
      <c r="E25" s="775" t="s">
        <v>736</v>
      </c>
      <c r="F25" s="776"/>
      <c r="G25" s="776"/>
      <c r="H25" s="777"/>
      <c r="I25" s="71"/>
      <c r="J25" s="279"/>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row>
    <row r="26" spans="2:52" s="56" customFormat="1" ht="27.75" customHeight="1" thickBot="1" x14ac:dyDescent="0.4">
      <c r="B26" s="275"/>
      <c r="C26" s="295"/>
      <c r="D26" s="297" t="s">
        <v>62</v>
      </c>
      <c r="E26" s="763" t="s">
        <v>662</v>
      </c>
      <c r="F26" s="764"/>
      <c r="G26" s="764"/>
      <c r="H26" s="765"/>
      <c r="I26" s="71"/>
      <c r="J26" s="279"/>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c r="AZ26" s="261"/>
    </row>
    <row r="27" spans="2:52" s="56" customFormat="1" ht="30.75" customHeight="1" thickBot="1" x14ac:dyDescent="0.4">
      <c r="B27" s="275"/>
      <c r="C27" s="74"/>
      <c r="D27" s="71"/>
      <c r="E27" s="71"/>
      <c r="F27" s="71"/>
      <c r="G27" s="295"/>
      <c r="H27" s="295"/>
      <c r="I27" s="298"/>
      <c r="J27" s="279"/>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row>
    <row r="28" spans="2:52" s="56" customFormat="1" ht="93.75" customHeight="1" x14ac:dyDescent="0.35">
      <c r="B28" s="275"/>
      <c r="C28" s="295" t="s">
        <v>223</v>
      </c>
      <c r="D28" s="778" t="s">
        <v>971</v>
      </c>
      <c r="E28" s="779"/>
      <c r="F28" s="779"/>
      <c r="G28" s="779"/>
      <c r="H28" s="779"/>
      <c r="I28" s="780"/>
      <c r="J28" s="279"/>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row>
    <row r="29" spans="2:52" s="56" customFormat="1" ht="30.75" hidden="1" customHeight="1" x14ac:dyDescent="0.35">
      <c r="B29" s="275"/>
      <c r="C29" s="295"/>
      <c r="D29" s="781"/>
      <c r="E29" s="782"/>
      <c r="F29" s="782"/>
      <c r="G29" s="782"/>
      <c r="H29" s="782"/>
      <c r="I29" s="783"/>
      <c r="J29" s="279"/>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row>
    <row r="30" spans="2:52" s="56" customFormat="1" ht="30.75" hidden="1" customHeight="1" x14ac:dyDescent="0.35">
      <c r="B30" s="275"/>
      <c r="C30" s="295"/>
      <c r="D30" s="781"/>
      <c r="E30" s="782"/>
      <c r="F30" s="782"/>
      <c r="G30" s="782"/>
      <c r="H30" s="782"/>
      <c r="I30" s="783"/>
      <c r="J30" s="279"/>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row>
    <row r="31" spans="2:52" s="56" customFormat="1" ht="56.25" hidden="1" customHeight="1" thickBot="1" x14ac:dyDescent="0.4">
      <c r="B31" s="275"/>
      <c r="C31" s="295"/>
      <c r="D31" s="784"/>
      <c r="E31" s="785"/>
      <c r="F31" s="785"/>
      <c r="G31" s="785"/>
      <c r="H31" s="785"/>
      <c r="I31" s="786"/>
      <c r="J31" s="279"/>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row>
    <row r="32" spans="2:52" s="56" customFormat="1" thickBot="1" x14ac:dyDescent="0.4">
      <c r="B32" s="299"/>
      <c r="C32" s="295"/>
      <c r="D32" s="300"/>
      <c r="E32" s="301"/>
      <c r="F32" s="301"/>
      <c r="G32" s="301"/>
      <c r="H32" s="302"/>
      <c r="I32" s="298"/>
      <c r="J32" s="279"/>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row>
    <row r="33" spans="1:52" ht="15.75" customHeight="1" thickBot="1" x14ac:dyDescent="0.4">
      <c r="A33" s="56"/>
      <c r="B33" s="275"/>
      <c r="C33" s="295"/>
      <c r="D33" s="295"/>
      <c r="E33" s="295"/>
      <c r="F33" s="295"/>
      <c r="G33" s="303"/>
      <c r="H33" s="274" t="s">
        <v>261</v>
      </c>
      <c r="I33" s="274" t="s">
        <v>231</v>
      </c>
      <c r="J33" s="279"/>
      <c r="K33" s="77"/>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row>
    <row r="34" spans="1:52" ht="39.75" customHeight="1" x14ac:dyDescent="0.35">
      <c r="B34" s="275"/>
      <c r="C34" s="304"/>
      <c r="D34" s="646" t="s">
        <v>256</v>
      </c>
      <c r="E34" s="646"/>
      <c r="F34" s="274" t="s">
        <v>260</v>
      </c>
      <c r="G34" s="274"/>
      <c r="H34" s="274"/>
      <c r="I34" s="274"/>
      <c r="J34" s="279"/>
      <c r="K34" s="77"/>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row>
    <row r="35" spans="1:52" ht="181.5" customHeight="1" x14ac:dyDescent="0.35">
      <c r="B35" s="275"/>
      <c r="C35" s="74" t="s">
        <v>254</v>
      </c>
      <c r="D35" s="787" t="s">
        <v>806</v>
      </c>
      <c r="E35" s="787"/>
      <c r="F35" s="772" t="s">
        <v>737</v>
      </c>
      <c r="G35" s="772"/>
      <c r="H35" s="305" t="s">
        <v>807</v>
      </c>
      <c r="I35" s="306" t="s">
        <v>728</v>
      </c>
      <c r="J35" s="279"/>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row>
    <row r="36" spans="1:52" ht="38.25" customHeight="1" thickBot="1" x14ac:dyDescent="0.4">
      <c r="B36" s="275"/>
      <c r="C36" s="276"/>
      <c r="D36" s="307"/>
      <c r="E36" s="788" t="s">
        <v>712</v>
      </c>
      <c r="F36" s="789"/>
      <c r="G36" s="789"/>
      <c r="H36" s="789"/>
      <c r="I36" s="790"/>
      <c r="J36" s="279"/>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row>
    <row r="37" spans="1:52" ht="173.25" customHeight="1" thickBot="1" x14ac:dyDescent="0.4">
      <c r="B37" s="275"/>
      <c r="C37" s="276"/>
      <c r="D37" s="773" t="s">
        <v>713</v>
      </c>
      <c r="E37" s="774"/>
      <c r="F37" s="746" t="s">
        <v>808</v>
      </c>
      <c r="G37" s="747"/>
      <c r="H37" s="308" t="s">
        <v>972</v>
      </c>
      <c r="I37" s="309" t="s">
        <v>728</v>
      </c>
      <c r="J37" s="279"/>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row>
    <row r="38" spans="1:52" ht="47.25" customHeight="1" thickBot="1" x14ac:dyDescent="0.4">
      <c r="B38" s="275"/>
      <c r="C38" s="276"/>
      <c r="D38" s="791" t="s">
        <v>714</v>
      </c>
      <c r="E38" s="792"/>
      <c r="F38" s="792"/>
      <c r="G38" s="792"/>
      <c r="H38" s="792"/>
      <c r="I38" s="774"/>
      <c r="J38" s="279"/>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row>
    <row r="39" spans="1:52" ht="82.5" customHeight="1" thickBot="1" x14ac:dyDescent="0.4">
      <c r="B39" s="275"/>
      <c r="C39" s="276"/>
      <c r="D39" s="793" t="s">
        <v>738</v>
      </c>
      <c r="E39" s="751"/>
      <c r="F39" s="748" t="s">
        <v>809</v>
      </c>
      <c r="G39" s="749"/>
      <c r="H39" s="310" t="s">
        <v>810</v>
      </c>
      <c r="I39" s="311" t="s">
        <v>728</v>
      </c>
      <c r="J39" s="279"/>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1"/>
      <c r="AX39" s="261"/>
      <c r="AY39" s="261"/>
      <c r="AZ39" s="261"/>
    </row>
    <row r="40" spans="1:52" ht="120.75" customHeight="1" thickBot="1" x14ac:dyDescent="0.4">
      <c r="B40" s="275"/>
      <c r="C40" s="276"/>
      <c r="D40" s="766" t="s">
        <v>811</v>
      </c>
      <c r="E40" s="767"/>
      <c r="F40" s="748" t="s">
        <v>812</v>
      </c>
      <c r="G40" s="749"/>
      <c r="H40" s="312" t="s">
        <v>813</v>
      </c>
      <c r="I40" s="286" t="s">
        <v>20</v>
      </c>
      <c r="J40" s="279"/>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row>
    <row r="41" spans="1:52" ht="120" customHeight="1" thickBot="1" x14ac:dyDescent="0.4">
      <c r="B41" s="275"/>
      <c r="C41" s="276"/>
      <c r="D41" s="766" t="s">
        <v>739</v>
      </c>
      <c r="E41" s="767"/>
      <c r="F41" s="746" t="s">
        <v>814</v>
      </c>
      <c r="G41" s="747"/>
      <c r="H41" s="313" t="s">
        <v>973</v>
      </c>
      <c r="I41" s="314" t="s">
        <v>728</v>
      </c>
      <c r="J41" s="279"/>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row>
    <row r="42" spans="1:52" ht="42" customHeight="1" thickBot="1" x14ac:dyDescent="0.4">
      <c r="B42" s="275"/>
      <c r="C42" s="276"/>
      <c r="D42" s="804" t="s">
        <v>721</v>
      </c>
      <c r="E42" s="805"/>
      <c r="F42" s="805"/>
      <c r="G42" s="805"/>
      <c r="H42" s="805"/>
      <c r="I42" s="805"/>
      <c r="J42" s="279"/>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row>
    <row r="43" spans="1:52" ht="269.25" customHeight="1" thickBot="1" x14ac:dyDescent="0.4">
      <c r="B43" s="275"/>
      <c r="C43" s="276"/>
      <c r="D43" s="750" t="s">
        <v>722</v>
      </c>
      <c r="E43" s="751"/>
      <c r="F43" s="748" t="s">
        <v>740</v>
      </c>
      <c r="G43" s="749"/>
      <c r="H43" s="282" t="s">
        <v>815</v>
      </c>
      <c r="I43" s="281" t="s">
        <v>724</v>
      </c>
      <c r="J43" s="279"/>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row>
    <row r="44" spans="1:52" ht="226.5" customHeight="1" thickBot="1" x14ac:dyDescent="0.4">
      <c r="B44" s="275"/>
      <c r="C44" s="276"/>
      <c r="D44" s="748" t="s">
        <v>816</v>
      </c>
      <c r="E44" s="749"/>
      <c r="F44" s="748" t="s">
        <v>817</v>
      </c>
      <c r="G44" s="749"/>
      <c r="H44" s="315" t="s">
        <v>823</v>
      </c>
      <c r="I44" s="278" t="s">
        <v>20</v>
      </c>
      <c r="J44" s="279"/>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row>
    <row r="45" spans="1:52" ht="86.25" customHeight="1" thickBot="1" x14ac:dyDescent="0.4">
      <c r="B45" s="275"/>
      <c r="C45" s="276"/>
      <c r="D45" s="748" t="s">
        <v>726</v>
      </c>
      <c r="E45" s="749"/>
      <c r="F45" s="748" t="s">
        <v>727</v>
      </c>
      <c r="G45" s="749"/>
      <c r="H45" s="316" t="s">
        <v>974</v>
      </c>
      <c r="I45" s="278" t="s">
        <v>20</v>
      </c>
      <c r="J45" s="279"/>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row>
    <row r="46" spans="1:52" ht="132" customHeight="1" thickBot="1" x14ac:dyDescent="0.4">
      <c r="B46" s="275"/>
      <c r="C46" s="276"/>
      <c r="D46" s="750" t="s">
        <v>729</v>
      </c>
      <c r="E46" s="751"/>
      <c r="F46" s="748" t="s">
        <v>818</v>
      </c>
      <c r="G46" s="749"/>
      <c r="H46" s="316" t="s">
        <v>975</v>
      </c>
      <c r="I46" s="278" t="s">
        <v>20</v>
      </c>
      <c r="J46" s="279"/>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row>
    <row r="47" spans="1:52" ht="37.5" customHeight="1" thickBot="1" x14ac:dyDescent="0.4">
      <c r="B47" s="275"/>
      <c r="C47" s="276"/>
      <c r="D47" s="806" t="s">
        <v>731</v>
      </c>
      <c r="E47" s="807"/>
      <c r="F47" s="807"/>
      <c r="G47" s="807"/>
      <c r="H47" s="807"/>
      <c r="I47" s="808"/>
      <c r="J47" s="279"/>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row>
    <row r="48" spans="1:52" ht="90.75" customHeight="1" thickBot="1" x14ac:dyDescent="0.4">
      <c r="B48" s="275"/>
      <c r="C48" s="276"/>
      <c r="D48" s="771" t="s">
        <v>732</v>
      </c>
      <c r="E48" s="771"/>
      <c r="F48" s="772" t="s">
        <v>733</v>
      </c>
      <c r="G48" s="772"/>
      <c r="H48" s="317" t="s">
        <v>824</v>
      </c>
      <c r="I48" s="278" t="s">
        <v>20</v>
      </c>
      <c r="J48" s="279"/>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row>
    <row r="49" spans="2:52" ht="18.75" customHeight="1" thickBot="1" x14ac:dyDescent="0.4">
      <c r="B49" s="275"/>
      <c r="C49" s="276"/>
      <c r="H49" s="318" t="s">
        <v>257</v>
      </c>
      <c r="I49" s="319" t="s">
        <v>20</v>
      </c>
      <c r="J49" s="279"/>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row>
    <row r="50" spans="2:52" ht="16" thickBot="1" x14ac:dyDescent="0.4">
      <c r="B50" s="275"/>
      <c r="C50" s="70"/>
      <c r="D50" s="70"/>
      <c r="E50" s="70"/>
      <c r="F50" s="70"/>
      <c r="G50" s="70"/>
      <c r="H50" s="294"/>
      <c r="I50" s="320"/>
      <c r="J50" s="279"/>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row>
    <row r="51" spans="2:52" x14ac:dyDescent="0.35">
      <c r="B51" s="275"/>
      <c r="C51" s="794" t="s">
        <v>262</v>
      </c>
      <c r="D51" s="795" t="s">
        <v>976</v>
      </c>
      <c r="E51" s="796"/>
      <c r="F51" s="796"/>
      <c r="G51" s="796"/>
      <c r="H51" s="796"/>
      <c r="I51" s="797"/>
      <c r="J51" s="279"/>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row>
    <row r="52" spans="2:52" x14ac:dyDescent="0.35">
      <c r="B52" s="275"/>
      <c r="C52" s="794"/>
      <c r="D52" s="798"/>
      <c r="E52" s="799"/>
      <c r="F52" s="799"/>
      <c r="G52" s="799"/>
      <c r="H52" s="799"/>
      <c r="I52" s="800"/>
      <c r="J52" s="279"/>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row>
    <row r="53" spans="2:52" x14ac:dyDescent="0.35">
      <c r="B53" s="275"/>
      <c r="C53" s="794"/>
      <c r="D53" s="798"/>
      <c r="E53" s="799"/>
      <c r="F53" s="799"/>
      <c r="G53" s="799"/>
      <c r="H53" s="799"/>
      <c r="I53" s="800"/>
      <c r="J53" s="279"/>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row>
    <row r="54" spans="2:52" ht="219" customHeight="1" thickBot="1" x14ac:dyDescent="0.4">
      <c r="B54" s="275"/>
      <c r="C54" s="794"/>
      <c r="D54" s="801"/>
      <c r="E54" s="802"/>
      <c r="F54" s="802"/>
      <c r="G54" s="802"/>
      <c r="H54" s="802"/>
      <c r="I54" s="803"/>
      <c r="J54" s="279"/>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row>
    <row r="55" spans="2:52" ht="16" thickBot="1" x14ac:dyDescent="0.4">
      <c r="B55" s="275"/>
      <c r="C55" s="70"/>
      <c r="D55" s="321" t="s">
        <v>741</v>
      </c>
      <c r="E55" s="322"/>
      <c r="F55" s="70"/>
      <c r="G55" s="70"/>
      <c r="H55" s="70"/>
      <c r="I55" s="320"/>
      <c r="J55" s="279"/>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row>
    <row r="56" spans="2:52" ht="16" thickBot="1" x14ac:dyDescent="0.4">
      <c r="B56" s="275"/>
      <c r="C56" s="70"/>
      <c r="D56" s="297" t="s">
        <v>60</v>
      </c>
      <c r="E56" s="809" t="s">
        <v>1023</v>
      </c>
      <c r="F56" s="764"/>
      <c r="G56" s="764"/>
      <c r="H56" s="764"/>
      <c r="I56" s="320"/>
      <c r="J56" s="279"/>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row>
    <row r="57" spans="2:52" ht="16" thickBot="1" x14ac:dyDescent="0.4">
      <c r="B57" s="275"/>
      <c r="C57" s="70"/>
      <c r="D57" s="297" t="s">
        <v>62</v>
      </c>
      <c r="E57" s="810" t="s">
        <v>1024</v>
      </c>
      <c r="F57" s="811"/>
      <c r="G57" s="811"/>
      <c r="H57" s="811"/>
      <c r="I57" s="320"/>
      <c r="J57" s="279"/>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row>
    <row r="58" spans="2:52" ht="15.75" customHeight="1" thickBot="1" x14ac:dyDescent="0.4">
      <c r="B58" s="275"/>
      <c r="C58" s="70"/>
      <c r="D58" s="70"/>
      <c r="E58" s="70"/>
      <c r="F58" s="70"/>
      <c r="G58" s="303"/>
      <c r="H58" s="274" t="s">
        <v>261</v>
      </c>
      <c r="I58" s="274" t="s">
        <v>231</v>
      </c>
      <c r="J58" s="279"/>
      <c r="K58" s="77"/>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c r="AZ58" s="261"/>
    </row>
    <row r="59" spans="2:52" ht="39.75" customHeight="1" thickBot="1" x14ac:dyDescent="0.4">
      <c r="B59" s="275"/>
      <c r="C59" s="304"/>
      <c r="D59" s="745" t="s">
        <v>256</v>
      </c>
      <c r="E59" s="745"/>
      <c r="F59" s="303" t="s">
        <v>260</v>
      </c>
      <c r="G59" s="303"/>
      <c r="H59" s="303"/>
      <c r="I59" s="303"/>
      <c r="J59" s="279"/>
      <c r="K59" s="77"/>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row>
    <row r="60" spans="2:52" ht="39.75" customHeight="1" thickBot="1" x14ac:dyDescent="0.4">
      <c r="B60" s="275"/>
      <c r="C60" s="276" t="s">
        <v>285</v>
      </c>
      <c r="D60" s="791" t="s">
        <v>742</v>
      </c>
      <c r="E60" s="812"/>
      <c r="F60" s="323"/>
      <c r="G60" s="288"/>
      <c r="H60" s="289"/>
      <c r="I60" s="281"/>
      <c r="J60" s="279"/>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row>
    <row r="61" spans="2:52" ht="48" customHeight="1" thickBot="1" x14ac:dyDescent="0.4">
      <c r="B61" s="275"/>
      <c r="C61" s="276"/>
      <c r="D61" s="773"/>
      <c r="E61" s="774"/>
      <c r="F61" s="323"/>
      <c r="G61" s="323"/>
      <c r="H61" s="289"/>
      <c r="I61" s="281"/>
      <c r="J61" s="279"/>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c r="AZ61" s="261"/>
    </row>
    <row r="62" spans="2:52" ht="21.75" customHeight="1" thickBot="1" x14ac:dyDescent="0.4">
      <c r="B62" s="275"/>
      <c r="C62" s="276"/>
      <c r="D62" s="773"/>
      <c r="E62" s="774"/>
      <c r="F62" s="323"/>
      <c r="G62" s="323"/>
      <c r="H62" s="291" t="s">
        <v>257</v>
      </c>
      <c r="I62" s="324"/>
      <c r="J62" s="279"/>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row>
    <row r="63" spans="2:52" ht="16" thickBot="1" x14ac:dyDescent="0.4">
      <c r="B63" s="275"/>
      <c r="C63" s="70"/>
      <c r="D63" s="70"/>
      <c r="E63" s="70"/>
      <c r="F63" s="70"/>
      <c r="G63" s="70"/>
      <c r="H63" s="294"/>
      <c r="I63" s="320"/>
      <c r="J63" s="279"/>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row>
    <row r="64" spans="2:52" ht="16" thickBot="1" x14ac:dyDescent="0.4">
      <c r="B64" s="275"/>
      <c r="C64" s="70"/>
      <c r="D64" s="321" t="s">
        <v>741</v>
      </c>
      <c r="E64" s="322"/>
      <c r="F64" s="70"/>
      <c r="G64" s="325"/>
      <c r="H64" s="326"/>
      <c r="I64" s="320"/>
      <c r="J64" s="279"/>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row>
    <row r="65" spans="1:52" ht="16" thickBot="1" x14ac:dyDescent="0.4">
      <c r="B65" s="275"/>
      <c r="C65" s="70"/>
      <c r="D65" s="297" t="s">
        <v>60</v>
      </c>
      <c r="E65" s="327"/>
      <c r="F65" s="325"/>
      <c r="G65" s="325"/>
      <c r="H65" s="326"/>
      <c r="I65" s="320"/>
      <c r="J65" s="279"/>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row>
    <row r="66" spans="1:52" ht="16" thickBot="1" x14ac:dyDescent="0.4">
      <c r="B66" s="275"/>
      <c r="C66" s="70"/>
      <c r="D66" s="297" t="s">
        <v>62</v>
      </c>
      <c r="E66" s="328"/>
      <c r="F66" s="329"/>
      <c r="G66" s="70"/>
      <c r="H66" s="70"/>
      <c r="I66" s="320"/>
      <c r="J66" s="279"/>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c r="AV66" s="261"/>
      <c r="AW66" s="261"/>
      <c r="AX66" s="261"/>
      <c r="AY66" s="261"/>
      <c r="AZ66" s="261"/>
    </row>
    <row r="67" spans="1:52" ht="66.75" customHeight="1" thickBot="1" x14ac:dyDescent="0.4">
      <c r="B67" s="275"/>
      <c r="C67" s="70"/>
      <c r="D67" s="297"/>
      <c r="E67" s="330"/>
      <c r="F67" s="331"/>
      <c r="G67" s="332"/>
      <c r="H67" s="332"/>
      <c r="I67" s="333"/>
      <c r="J67" s="279"/>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row>
    <row r="68" spans="1:52" s="56" customFormat="1" ht="252" customHeight="1" x14ac:dyDescent="0.35">
      <c r="A68" s="3"/>
      <c r="B68" s="275"/>
      <c r="C68" s="334"/>
      <c r="D68" s="816" t="s">
        <v>262</v>
      </c>
      <c r="E68" s="816"/>
      <c r="F68" s="335" t="s">
        <v>743</v>
      </c>
      <c r="G68" s="336"/>
      <c r="H68" s="273"/>
      <c r="I68" s="298"/>
      <c r="J68" s="279"/>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row>
    <row r="69" spans="1:52" s="56" customFormat="1" ht="15.75" customHeight="1" thickBot="1" x14ac:dyDescent="0.4">
      <c r="B69" s="275"/>
      <c r="C69" s="336"/>
      <c r="D69" s="336"/>
      <c r="E69" s="336"/>
      <c r="F69" s="336"/>
      <c r="G69" s="337" t="s">
        <v>224</v>
      </c>
      <c r="H69" s="273"/>
      <c r="I69" s="298"/>
      <c r="J69" s="279"/>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row>
    <row r="70" spans="1:52" s="56" customFormat="1" ht="78" customHeight="1" thickBot="1" x14ac:dyDescent="0.4">
      <c r="B70" s="275"/>
      <c r="C70" s="70"/>
      <c r="D70" s="272"/>
      <c r="E70" s="272"/>
      <c r="F70" s="272"/>
      <c r="G70" s="817" t="s">
        <v>977</v>
      </c>
      <c r="H70" s="818"/>
      <c r="I70" s="819"/>
      <c r="J70" s="279"/>
      <c r="L70" s="261"/>
      <c r="M70" s="26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row>
    <row r="71" spans="1:52" s="56" customFormat="1" ht="54.75" customHeight="1" x14ac:dyDescent="0.35">
      <c r="B71" s="275"/>
      <c r="C71" s="70"/>
      <c r="D71" s="272"/>
      <c r="E71" s="272"/>
      <c r="F71" s="338" t="s">
        <v>225</v>
      </c>
      <c r="G71" s="820" t="s">
        <v>978</v>
      </c>
      <c r="H71" s="821"/>
      <c r="I71" s="822"/>
      <c r="J71" s="279"/>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c r="AZ71" s="261"/>
    </row>
    <row r="72" spans="1:52" s="56" customFormat="1" ht="58.5" customHeight="1" x14ac:dyDescent="0.35">
      <c r="B72" s="275"/>
      <c r="C72" s="70"/>
      <c r="D72" s="272"/>
      <c r="E72" s="272"/>
      <c r="F72" s="339" t="s">
        <v>226</v>
      </c>
      <c r="G72" s="820" t="s">
        <v>979</v>
      </c>
      <c r="H72" s="821"/>
      <c r="I72" s="822"/>
      <c r="J72" s="279"/>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row>
    <row r="73" spans="1:52" ht="60" customHeight="1" x14ac:dyDescent="0.35">
      <c r="A73" s="56"/>
      <c r="B73" s="275"/>
      <c r="C73" s="70"/>
      <c r="D73" s="272"/>
      <c r="E73" s="272"/>
      <c r="F73" s="339" t="s">
        <v>227</v>
      </c>
      <c r="G73" s="820" t="s">
        <v>980</v>
      </c>
      <c r="H73" s="821"/>
      <c r="I73" s="822"/>
      <c r="J73" s="279"/>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row>
    <row r="74" spans="1:52" ht="54" customHeight="1" x14ac:dyDescent="0.35">
      <c r="B74" s="275"/>
      <c r="C74" s="70"/>
      <c r="D74" s="272"/>
      <c r="E74" s="272"/>
      <c r="F74" s="339" t="s">
        <v>228</v>
      </c>
      <c r="G74" s="820" t="s">
        <v>981</v>
      </c>
      <c r="H74" s="821"/>
      <c r="I74" s="822"/>
      <c r="J74" s="270"/>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row>
    <row r="75" spans="1:52" ht="61.5" customHeight="1" thickBot="1" x14ac:dyDescent="0.4">
      <c r="B75" s="269"/>
      <c r="C75" s="70"/>
      <c r="D75" s="272"/>
      <c r="E75" s="272"/>
      <c r="F75" s="339" t="s">
        <v>229</v>
      </c>
      <c r="G75" s="813" t="s">
        <v>982</v>
      </c>
      <c r="H75" s="814"/>
      <c r="I75" s="815"/>
      <c r="J75" s="270"/>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row>
    <row r="76" spans="1:52" ht="47" thickBot="1" x14ac:dyDescent="0.4">
      <c r="B76" s="269"/>
      <c r="C76" s="70"/>
      <c r="D76" s="272"/>
      <c r="E76" s="272"/>
      <c r="F76" s="340" t="s">
        <v>230</v>
      </c>
      <c r="G76" s="341"/>
      <c r="H76" s="342"/>
      <c r="I76" s="343"/>
      <c r="J76" s="344"/>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row>
    <row r="77" spans="1:52" ht="50.15" customHeight="1" thickBot="1" x14ac:dyDescent="0.4">
      <c r="B77" s="345"/>
      <c r="C77" s="346"/>
      <c r="D77" s="341"/>
      <c r="E77" s="341"/>
      <c r="F77" s="341"/>
      <c r="G77" s="261"/>
      <c r="H77" s="261"/>
      <c r="I77" s="347"/>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row>
    <row r="78" spans="1:52" x14ac:dyDescent="0.35">
      <c r="A78" s="261"/>
      <c r="B78" s="261"/>
      <c r="C78" s="261"/>
      <c r="D78" s="261"/>
      <c r="E78" s="261"/>
      <c r="F78" s="261"/>
      <c r="G78" s="261"/>
      <c r="H78" s="261"/>
      <c r="I78" s="261"/>
      <c r="J78" s="261"/>
      <c r="K78" s="261"/>
    </row>
    <row r="79" spans="1:52" x14ac:dyDescent="0.35">
      <c r="A79" s="261"/>
      <c r="B79" s="261"/>
      <c r="C79" s="261"/>
      <c r="D79" s="261"/>
      <c r="E79" s="261"/>
      <c r="F79" s="261"/>
      <c r="G79" s="261"/>
      <c r="H79" s="261"/>
      <c r="I79" s="261"/>
      <c r="J79" s="261"/>
      <c r="K79" s="261"/>
    </row>
    <row r="80" spans="1:52" x14ac:dyDescent="0.35">
      <c r="A80" s="261"/>
      <c r="B80" s="261"/>
      <c r="C80" s="261"/>
      <c r="D80" s="261"/>
      <c r="E80" s="261"/>
      <c r="F80" s="261"/>
      <c r="G80" s="261"/>
      <c r="H80" s="261"/>
      <c r="I80" s="261"/>
      <c r="J80" s="261"/>
      <c r="K80" s="261"/>
    </row>
    <row r="81" spans="1:11" x14ac:dyDescent="0.35">
      <c r="A81" s="261"/>
      <c r="B81" s="261"/>
      <c r="C81" s="261"/>
      <c r="D81" s="261"/>
      <c r="E81" s="261"/>
      <c r="F81" s="261"/>
      <c r="G81" s="261"/>
      <c r="H81" s="261"/>
      <c r="I81" s="261"/>
      <c r="J81" s="261"/>
      <c r="K81" s="261"/>
    </row>
    <row r="82" spans="1:11" x14ac:dyDescent="0.35">
      <c r="A82" s="261"/>
      <c r="B82" s="261"/>
      <c r="C82" s="261"/>
      <c r="D82" s="261"/>
      <c r="E82" s="261"/>
      <c r="F82" s="261"/>
      <c r="G82" s="261"/>
      <c r="H82" s="261"/>
      <c r="I82" s="261"/>
      <c r="J82" s="261"/>
      <c r="K82" s="261"/>
    </row>
    <row r="83" spans="1:11" x14ac:dyDescent="0.35">
      <c r="A83" s="261"/>
      <c r="B83" s="261"/>
      <c r="C83" s="261"/>
      <c r="D83" s="261"/>
      <c r="E83" s="261"/>
      <c r="F83" s="261"/>
      <c r="G83" s="261"/>
      <c r="H83" s="261"/>
      <c r="I83" s="261"/>
      <c r="J83" s="261"/>
      <c r="K83" s="261"/>
    </row>
    <row r="84" spans="1:11" x14ac:dyDescent="0.35">
      <c r="A84" s="261"/>
      <c r="B84" s="261"/>
      <c r="C84" s="261"/>
      <c r="D84" s="261"/>
      <c r="E84" s="261"/>
      <c r="F84" s="261"/>
      <c r="G84" s="261"/>
      <c r="H84" s="261"/>
      <c r="I84" s="261"/>
      <c r="J84" s="261"/>
      <c r="K84" s="261"/>
    </row>
    <row r="85" spans="1:11" x14ac:dyDescent="0.35">
      <c r="A85" s="261"/>
      <c r="B85" s="261"/>
      <c r="C85" s="261"/>
      <c r="D85" s="261"/>
      <c r="E85" s="261"/>
      <c r="F85" s="261"/>
      <c r="G85" s="261"/>
      <c r="H85" s="261"/>
      <c r="I85" s="261"/>
      <c r="J85" s="261"/>
      <c r="K85" s="261"/>
    </row>
    <row r="86" spans="1:11" x14ac:dyDescent="0.35">
      <c r="A86" s="261"/>
      <c r="B86" s="261"/>
      <c r="C86" s="261"/>
      <c r="D86" s="261"/>
      <c r="E86" s="261"/>
      <c r="F86" s="261"/>
      <c r="G86" s="261"/>
      <c r="H86" s="261"/>
      <c r="I86" s="261"/>
      <c r="J86" s="261"/>
      <c r="K86" s="261"/>
    </row>
    <row r="87" spans="1:11" x14ac:dyDescent="0.35">
      <c r="A87" s="261"/>
      <c r="B87" s="261"/>
      <c r="C87" s="261"/>
      <c r="D87" s="261"/>
      <c r="E87" s="261"/>
      <c r="F87" s="261"/>
      <c r="G87" s="261"/>
      <c r="H87" s="261"/>
      <c r="I87" s="261"/>
      <c r="J87" s="261"/>
      <c r="K87" s="261"/>
    </row>
    <row r="88" spans="1:11" x14ac:dyDescent="0.35">
      <c r="A88" s="261"/>
      <c r="B88" s="261"/>
      <c r="C88" s="261"/>
      <c r="D88" s="261"/>
      <c r="E88" s="261"/>
      <c r="F88" s="261"/>
      <c r="G88" s="261"/>
      <c r="H88" s="261"/>
      <c r="I88" s="261"/>
      <c r="J88" s="261"/>
      <c r="K88" s="261"/>
    </row>
    <row r="89" spans="1:11" x14ac:dyDescent="0.35">
      <c r="A89" s="261"/>
      <c r="B89" s="261"/>
      <c r="C89" s="261"/>
      <c r="D89" s="261"/>
      <c r="E89" s="261"/>
      <c r="F89" s="261"/>
      <c r="G89" s="261"/>
      <c r="H89" s="261"/>
      <c r="I89" s="261"/>
      <c r="J89" s="261"/>
      <c r="K89" s="261"/>
    </row>
    <row r="90" spans="1:11" x14ac:dyDescent="0.35">
      <c r="A90" s="261"/>
      <c r="B90" s="261"/>
      <c r="C90" s="261"/>
      <c r="D90" s="261"/>
      <c r="E90" s="261"/>
      <c r="F90" s="261"/>
      <c r="G90" s="261"/>
      <c r="H90" s="261"/>
      <c r="I90" s="261"/>
      <c r="J90" s="261"/>
      <c r="K90" s="261"/>
    </row>
    <row r="91" spans="1:11" x14ac:dyDescent="0.35">
      <c r="A91" s="261"/>
      <c r="B91" s="261"/>
      <c r="C91" s="261"/>
      <c r="D91" s="261"/>
      <c r="E91" s="261"/>
      <c r="F91" s="261"/>
      <c r="G91" s="261"/>
      <c r="H91" s="261"/>
      <c r="I91" s="261"/>
      <c r="J91" s="261"/>
      <c r="K91" s="261"/>
    </row>
    <row r="92" spans="1:11" x14ac:dyDescent="0.35">
      <c r="A92" s="261"/>
      <c r="B92" s="261"/>
      <c r="C92" s="261"/>
      <c r="D92" s="261"/>
      <c r="E92" s="261"/>
      <c r="F92" s="261"/>
      <c r="G92" s="261"/>
      <c r="H92" s="261"/>
      <c r="I92" s="261"/>
      <c r="J92" s="261"/>
      <c r="K92" s="261"/>
    </row>
    <row r="93" spans="1:11" x14ac:dyDescent="0.35">
      <c r="A93" s="261"/>
      <c r="B93" s="261"/>
      <c r="C93" s="261"/>
      <c r="D93" s="261"/>
      <c r="E93" s="261"/>
      <c r="F93" s="261"/>
      <c r="G93" s="261"/>
      <c r="H93" s="261"/>
      <c r="I93" s="261"/>
      <c r="J93" s="261"/>
      <c r="K93" s="261"/>
    </row>
    <row r="94" spans="1:11" x14ac:dyDescent="0.35">
      <c r="A94" s="261"/>
      <c r="B94" s="261"/>
      <c r="D94" s="261"/>
      <c r="E94" s="261"/>
      <c r="F94" s="261"/>
      <c r="G94" s="261"/>
      <c r="H94" s="261"/>
      <c r="I94" s="261"/>
      <c r="J94" s="261"/>
      <c r="K94" s="261"/>
    </row>
    <row r="95" spans="1:11" x14ac:dyDescent="0.35">
      <c r="A95" s="261"/>
      <c r="B95" s="261"/>
      <c r="D95" s="261"/>
      <c r="E95" s="261"/>
      <c r="F95" s="261"/>
      <c r="G95" s="261"/>
      <c r="H95" s="261"/>
      <c r="I95" s="261"/>
      <c r="J95" s="261"/>
      <c r="K95" s="261"/>
    </row>
    <row r="96" spans="1:11" x14ac:dyDescent="0.35">
      <c r="A96" s="261"/>
      <c r="B96" s="261"/>
      <c r="D96" s="261"/>
      <c r="E96" s="261"/>
      <c r="F96" s="261"/>
      <c r="G96" s="261"/>
      <c r="H96" s="261"/>
      <c r="I96" s="261"/>
      <c r="J96" s="261"/>
      <c r="K96" s="261"/>
    </row>
    <row r="97" spans="1:11" x14ac:dyDescent="0.35">
      <c r="A97" s="261"/>
      <c r="B97" s="261"/>
      <c r="E97" s="261"/>
      <c r="F97" s="261"/>
      <c r="G97" s="261"/>
      <c r="H97" s="261"/>
      <c r="I97" s="261"/>
      <c r="J97" s="261"/>
      <c r="K97" s="261"/>
    </row>
    <row r="98" spans="1:11" x14ac:dyDescent="0.35">
      <c r="A98" s="261"/>
      <c r="B98" s="261"/>
      <c r="H98" s="261"/>
      <c r="I98" s="261"/>
      <c r="J98" s="261"/>
      <c r="K98" s="261"/>
    </row>
    <row r="99" spans="1:11" x14ac:dyDescent="0.35">
      <c r="A99" s="261"/>
      <c r="B99" s="261"/>
      <c r="H99" s="261"/>
      <c r="I99" s="261"/>
      <c r="J99" s="261"/>
      <c r="K99" s="261"/>
    </row>
    <row r="100" spans="1:11" x14ac:dyDescent="0.35">
      <c r="A100" s="261"/>
      <c r="B100" s="261"/>
      <c r="H100" s="261"/>
      <c r="I100" s="261"/>
      <c r="J100" s="261"/>
      <c r="K100" s="261"/>
    </row>
    <row r="101" spans="1:11" x14ac:dyDescent="0.35">
      <c r="A101" s="261"/>
      <c r="B101" s="261"/>
      <c r="H101" s="261"/>
      <c r="I101" s="261"/>
      <c r="J101" s="261"/>
      <c r="K101" s="261"/>
    </row>
    <row r="102" spans="1:11" x14ac:dyDescent="0.35">
      <c r="A102" s="261"/>
      <c r="B102" s="261"/>
      <c r="H102" s="261"/>
      <c r="I102" s="261"/>
      <c r="J102" s="261"/>
      <c r="K102" s="261"/>
    </row>
    <row r="103" spans="1:11" x14ac:dyDescent="0.35">
      <c r="B103" s="261"/>
      <c r="H103" s="261"/>
      <c r="I103" s="261"/>
      <c r="J103" s="261"/>
    </row>
    <row r="104" spans="1:11" x14ac:dyDescent="0.35">
      <c r="H104" s="261"/>
      <c r="I104" s="261"/>
    </row>
    <row r="105" spans="1:11" x14ac:dyDescent="0.35">
      <c r="H105" s="261"/>
      <c r="I105" s="261"/>
    </row>
    <row r="106" spans="1:11" x14ac:dyDescent="0.35">
      <c r="H106" s="261"/>
    </row>
  </sheetData>
  <mergeCells count="72">
    <mergeCell ref="G75:I75"/>
    <mergeCell ref="D68:E68"/>
    <mergeCell ref="G70:I70"/>
    <mergeCell ref="G71:I71"/>
    <mergeCell ref="G72:I72"/>
    <mergeCell ref="G73:I73"/>
    <mergeCell ref="G74:I74"/>
    <mergeCell ref="D62:E62"/>
    <mergeCell ref="D46:E46"/>
    <mergeCell ref="F46:G46"/>
    <mergeCell ref="D47:I47"/>
    <mergeCell ref="D48:E48"/>
    <mergeCell ref="F48:G48"/>
    <mergeCell ref="E56:H56"/>
    <mergeCell ref="E57:H57"/>
    <mergeCell ref="D59:E59"/>
    <mergeCell ref="D60:E60"/>
    <mergeCell ref="D61:E61"/>
    <mergeCell ref="C51:C54"/>
    <mergeCell ref="D51:I54"/>
    <mergeCell ref="D42:I42"/>
    <mergeCell ref="D43:E43"/>
    <mergeCell ref="F43:G43"/>
    <mergeCell ref="D44:E44"/>
    <mergeCell ref="F44:G44"/>
    <mergeCell ref="D45:E45"/>
    <mergeCell ref="F45:G45"/>
    <mergeCell ref="D41:E41"/>
    <mergeCell ref="F41:G41"/>
    <mergeCell ref="D28:I31"/>
    <mergeCell ref="D34:E34"/>
    <mergeCell ref="D35:E35"/>
    <mergeCell ref="F35:G35"/>
    <mergeCell ref="E36:I36"/>
    <mergeCell ref="D37:E37"/>
    <mergeCell ref="F37:G37"/>
    <mergeCell ref="D38:I38"/>
    <mergeCell ref="D39:E39"/>
    <mergeCell ref="F39:G39"/>
    <mergeCell ref="D40:E40"/>
    <mergeCell ref="F40:G40"/>
    <mergeCell ref="E26:H26"/>
    <mergeCell ref="D17:E17"/>
    <mergeCell ref="F17:G17"/>
    <mergeCell ref="D18:E18"/>
    <mergeCell ref="F18:G18"/>
    <mergeCell ref="D19:E19"/>
    <mergeCell ref="F19:G19"/>
    <mergeCell ref="D20:I20"/>
    <mergeCell ref="D21:E21"/>
    <mergeCell ref="F21:G21"/>
    <mergeCell ref="F22:G22"/>
    <mergeCell ref="E25:H25"/>
    <mergeCell ref="D16:E16"/>
    <mergeCell ref="F16:G16"/>
    <mergeCell ref="D9:I9"/>
    <mergeCell ref="D10:E10"/>
    <mergeCell ref="F10:G10"/>
    <mergeCell ref="D11:I11"/>
    <mergeCell ref="D12:E12"/>
    <mergeCell ref="F12:G12"/>
    <mergeCell ref="D13:E13"/>
    <mergeCell ref="F13:G13"/>
    <mergeCell ref="D14:E14"/>
    <mergeCell ref="F14:G14"/>
    <mergeCell ref="D15:I15"/>
    <mergeCell ref="C3:I3"/>
    <mergeCell ref="C4:I4"/>
    <mergeCell ref="D7:E7"/>
    <mergeCell ref="F7:G7"/>
    <mergeCell ref="D8:E8"/>
    <mergeCell ref="F8:G8"/>
  </mergeCells>
  <hyperlinks>
    <hyperlink ref="E26" r:id="rId1" xr:uid="{00000000-0004-0000-0400-000000000000}"/>
    <hyperlink ref="E57" r:id="rId2" xr:uid="{00000000-0004-0000-0400-000001000000}"/>
  </hyperlinks>
  <pageMargins left="0.2" right="0.21" top="0.17" bottom="0.17" header="0.17" footer="0.17"/>
  <pageSetup scale="46"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6"/>
  <sheetViews>
    <sheetView topLeftCell="A22" zoomScale="70" zoomScaleNormal="70" workbookViewId="0">
      <selection activeCell="B2" sqref="B2:I26"/>
    </sheetView>
  </sheetViews>
  <sheetFormatPr defaultColWidth="9.1796875" defaultRowHeight="14.5" x14ac:dyDescent="0.35"/>
  <cols>
    <col min="1" max="1" width="1.36328125" style="348" customWidth="1"/>
    <col min="2" max="2" width="1.81640625" style="348" customWidth="1"/>
    <col min="3" max="3" width="26.54296875" style="348" customWidth="1"/>
    <col min="4" max="4" width="42.26953125" style="348" customWidth="1"/>
    <col min="5" max="5" width="18.54296875" style="348" customWidth="1"/>
    <col min="6" max="6" width="26.36328125" style="348" customWidth="1"/>
    <col min="7" max="7" width="41.7265625" style="348" customWidth="1"/>
    <col min="8" max="8" width="75.81640625" style="348" customWidth="1"/>
    <col min="9" max="9" width="61.26953125" style="348" customWidth="1"/>
    <col min="10" max="11" width="1.54296875" style="348" customWidth="1"/>
    <col min="12" max="16384" width="9.1796875" style="348"/>
  </cols>
  <sheetData>
    <row r="1" spans="2:10" ht="14.65" thickBot="1" x14ac:dyDescent="0.4"/>
    <row r="2" spans="2:10" ht="14.65" thickBot="1" x14ac:dyDescent="0.4">
      <c r="B2" s="421"/>
      <c r="C2" s="422"/>
      <c r="D2" s="422"/>
      <c r="E2" s="423"/>
      <c r="F2" s="423"/>
      <c r="G2" s="423"/>
      <c r="H2" s="423"/>
      <c r="I2" s="423"/>
      <c r="J2" s="424"/>
    </row>
    <row r="3" spans="2:10" ht="20.149999999999999" thickBot="1" x14ac:dyDescent="0.5">
      <c r="B3" s="354"/>
      <c r="C3" s="687" t="s">
        <v>249</v>
      </c>
      <c r="D3" s="688"/>
      <c r="E3" s="832"/>
      <c r="F3" s="832"/>
      <c r="G3" s="832"/>
      <c r="H3" s="832"/>
      <c r="I3" s="833"/>
      <c r="J3" s="425"/>
    </row>
    <row r="4" spans="2:10" ht="14.15" x14ac:dyDescent="0.35">
      <c r="B4" s="426"/>
      <c r="C4" s="834" t="s">
        <v>250</v>
      </c>
      <c r="D4" s="834"/>
      <c r="E4" s="834"/>
      <c r="F4" s="834"/>
      <c r="G4" s="834"/>
      <c r="H4" s="834"/>
      <c r="I4" s="834"/>
      <c r="J4" s="27"/>
    </row>
    <row r="5" spans="2:10" ht="14.15" x14ac:dyDescent="0.35">
      <c r="B5" s="426"/>
      <c r="C5" s="835"/>
      <c r="D5" s="835"/>
      <c r="E5" s="835"/>
      <c r="F5" s="835"/>
      <c r="G5" s="835"/>
      <c r="H5" s="835"/>
      <c r="I5" s="835"/>
      <c r="J5" s="27"/>
    </row>
    <row r="6" spans="2:10" ht="30.75" customHeight="1" x14ac:dyDescent="0.35">
      <c r="B6" s="426"/>
      <c r="C6" s="840" t="s">
        <v>830</v>
      </c>
      <c r="D6" s="840"/>
      <c r="E6" s="840"/>
      <c r="F6" s="7"/>
      <c r="G6" s="7"/>
      <c r="H6" s="7"/>
      <c r="I6" s="7"/>
      <c r="J6" s="27"/>
    </row>
    <row r="7" spans="2:10" ht="30.75" customHeight="1" x14ac:dyDescent="0.35">
      <c r="B7" s="426"/>
      <c r="C7" s="427" t="s">
        <v>840</v>
      </c>
      <c r="D7" s="427" t="s">
        <v>859</v>
      </c>
      <c r="E7" s="842" t="s">
        <v>248</v>
      </c>
      <c r="F7" s="842"/>
      <c r="G7" s="428" t="s">
        <v>246</v>
      </c>
      <c r="H7" s="429"/>
      <c r="I7" s="430" t="s">
        <v>842</v>
      </c>
      <c r="J7" s="27"/>
    </row>
    <row r="8" spans="2:10" ht="99" customHeight="1" x14ac:dyDescent="0.35">
      <c r="B8" s="426"/>
      <c r="C8" s="431" t="s">
        <v>841</v>
      </c>
      <c r="D8" s="843"/>
      <c r="E8" s="841" t="s">
        <v>843</v>
      </c>
      <c r="F8" s="841"/>
      <c r="G8" s="432" t="s">
        <v>844</v>
      </c>
      <c r="H8" s="433"/>
      <c r="I8" s="432" t="s">
        <v>856</v>
      </c>
      <c r="J8" s="27"/>
    </row>
    <row r="9" spans="2:10" ht="30" customHeight="1" thickBot="1" x14ac:dyDescent="0.4">
      <c r="B9" s="426"/>
      <c r="C9" s="434" t="s">
        <v>858</v>
      </c>
      <c r="D9" s="844"/>
      <c r="E9" s="836" t="s">
        <v>248</v>
      </c>
      <c r="F9" s="837"/>
      <c r="G9" s="435" t="s">
        <v>246</v>
      </c>
      <c r="H9" s="436" t="s">
        <v>278</v>
      </c>
      <c r="I9" s="435" t="s">
        <v>286</v>
      </c>
      <c r="J9" s="27"/>
    </row>
    <row r="10" spans="2:10" ht="30" customHeight="1" thickBot="1" x14ac:dyDescent="0.4">
      <c r="B10" s="426"/>
      <c r="C10" s="437"/>
      <c r="D10" s="845"/>
      <c r="E10" s="438"/>
      <c r="F10" s="439"/>
      <c r="G10" s="440"/>
      <c r="H10" s="441"/>
      <c r="I10" s="440"/>
      <c r="J10" s="27"/>
    </row>
    <row r="11" spans="2:10" s="447" customFormat="1" ht="161.25" customHeight="1" x14ac:dyDescent="0.35">
      <c r="B11" s="442"/>
      <c r="C11" s="443" t="s">
        <v>862</v>
      </c>
      <c r="D11" s="444" t="s">
        <v>860</v>
      </c>
      <c r="E11" s="838" t="s">
        <v>869</v>
      </c>
      <c r="F11" s="839"/>
      <c r="G11" s="445" t="s">
        <v>777</v>
      </c>
      <c r="H11" s="445" t="s">
        <v>857</v>
      </c>
      <c r="I11" s="445" t="s">
        <v>831</v>
      </c>
      <c r="J11" s="446"/>
    </row>
    <row r="12" spans="2:10" ht="89.25" customHeight="1" x14ac:dyDescent="0.35">
      <c r="B12" s="448"/>
      <c r="C12" s="449"/>
      <c r="D12" s="444" t="s">
        <v>997</v>
      </c>
      <c r="E12" s="831" t="s">
        <v>870</v>
      </c>
      <c r="F12" s="824"/>
      <c r="G12" s="445" t="s">
        <v>832</v>
      </c>
      <c r="H12" s="445" t="s">
        <v>861</v>
      </c>
      <c r="I12" s="445" t="s">
        <v>776</v>
      </c>
      <c r="J12" s="450"/>
    </row>
    <row r="13" spans="2:10" ht="141.5" x14ac:dyDescent="0.35">
      <c r="B13" s="448"/>
      <c r="C13" s="451" t="s">
        <v>863</v>
      </c>
      <c r="D13" s="452" t="s">
        <v>864</v>
      </c>
      <c r="E13" s="823" t="s">
        <v>871</v>
      </c>
      <c r="F13" s="824"/>
      <c r="G13" s="445" t="s">
        <v>775</v>
      </c>
      <c r="H13" s="445" t="s">
        <v>774</v>
      </c>
      <c r="I13" s="445" t="s">
        <v>773</v>
      </c>
      <c r="J13" s="450"/>
    </row>
    <row r="14" spans="2:10" ht="123.75" customHeight="1" x14ac:dyDescent="0.35">
      <c r="B14" s="448"/>
      <c r="C14" s="453"/>
      <c r="D14" s="444" t="s">
        <v>865</v>
      </c>
      <c r="E14" s="825" t="s">
        <v>872</v>
      </c>
      <c r="F14" s="826"/>
      <c r="G14" s="445" t="s">
        <v>772</v>
      </c>
      <c r="H14" s="445" t="s">
        <v>867</v>
      </c>
      <c r="I14" s="445" t="s">
        <v>771</v>
      </c>
      <c r="J14" s="450"/>
    </row>
    <row r="15" spans="2:10" ht="117.75" customHeight="1" x14ac:dyDescent="0.35">
      <c r="B15" s="448"/>
      <c r="C15" s="453"/>
      <c r="D15" s="444" t="s">
        <v>998</v>
      </c>
      <c r="E15" s="825" t="s">
        <v>873</v>
      </c>
      <c r="F15" s="826"/>
      <c r="G15" s="445" t="s">
        <v>770</v>
      </c>
      <c r="H15" s="445" t="s">
        <v>868</v>
      </c>
      <c r="I15" s="445" t="s">
        <v>769</v>
      </c>
      <c r="J15" s="450"/>
    </row>
    <row r="16" spans="2:10" ht="117.75" customHeight="1" x14ac:dyDescent="0.35">
      <c r="B16" s="448"/>
      <c r="C16" s="454"/>
      <c r="D16" s="444" t="s">
        <v>866</v>
      </c>
      <c r="E16" s="829" t="s">
        <v>874</v>
      </c>
      <c r="F16" s="830"/>
      <c r="G16" s="445" t="s">
        <v>768</v>
      </c>
      <c r="H16" s="445" t="s">
        <v>833</v>
      </c>
      <c r="I16" s="445" t="s">
        <v>767</v>
      </c>
      <c r="J16" s="450"/>
    </row>
    <row r="17" spans="2:10" ht="191.25" customHeight="1" x14ac:dyDescent="0.35">
      <c r="B17" s="448"/>
      <c r="C17" s="847" t="s">
        <v>875</v>
      </c>
      <c r="D17" s="444" t="s">
        <v>897</v>
      </c>
      <c r="E17" s="827" t="s">
        <v>876</v>
      </c>
      <c r="F17" s="828"/>
      <c r="G17" s="445" t="s">
        <v>877</v>
      </c>
      <c r="H17" s="445" t="s">
        <v>878</v>
      </c>
      <c r="I17" s="445" t="s">
        <v>886</v>
      </c>
      <c r="J17" s="450"/>
    </row>
    <row r="18" spans="2:10" ht="176.25" customHeight="1" x14ac:dyDescent="0.35">
      <c r="B18" s="448"/>
      <c r="C18" s="848"/>
      <c r="D18" s="444" t="s">
        <v>879</v>
      </c>
      <c r="E18" s="825" t="s">
        <v>880</v>
      </c>
      <c r="F18" s="826"/>
      <c r="G18" s="445" t="s">
        <v>881</v>
      </c>
      <c r="H18" s="445" t="s">
        <v>848</v>
      </c>
      <c r="I18" s="445" t="s">
        <v>882</v>
      </c>
      <c r="J18" s="450"/>
    </row>
    <row r="19" spans="2:10" ht="225" customHeight="1" x14ac:dyDescent="0.35">
      <c r="B19" s="448"/>
      <c r="C19" s="848"/>
      <c r="D19" s="452" t="s">
        <v>883</v>
      </c>
      <c r="E19" s="850" t="s">
        <v>887</v>
      </c>
      <c r="F19" s="851"/>
      <c r="G19" s="445" t="s">
        <v>888</v>
      </c>
      <c r="H19" s="445" t="s">
        <v>889</v>
      </c>
      <c r="I19" s="445" t="s">
        <v>890</v>
      </c>
      <c r="J19" s="450"/>
    </row>
    <row r="20" spans="2:10" ht="134.25" customHeight="1" x14ac:dyDescent="0.35">
      <c r="B20" s="448"/>
      <c r="C20" s="848"/>
      <c r="D20" s="444" t="s">
        <v>884</v>
      </c>
      <c r="E20" s="825" t="s">
        <v>891</v>
      </c>
      <c r="F20" s="826"/>
      <c r="G20" s="445" t="s">
        <v>766</v>
      </c>
      <c r="H20" s="445" t="s">
        <v>892</v>
      </c>
      <c r="I20" s="445" t="s">
        <v>834</v>
      </c>
      <c r="J20" s="450"/>
    </row>
    <row r="21" spans="2:10" ht="185.25" customHeight="1" x14ac:dyDescent="0.35">
      <c r="B21" s="448"/>
      <c r="C21" s="849"/>
      <c r="D21" s="444" t="s">
        <v>885</v>
      </c>
      <c r="E21" s="827" t="s">
        <v>893</v>
      </c>
      <c r="F21" s="828"/>
      <c r="G21" s="445" t="s">
        <v>895</v>
      </c>
      <c r="H21" s="445" t="s">
        <v>999</v>
      </c>
      <c r="I21" s="445" t="s">
        <v>894</v>
      </c>
      <c r="J21" s="450"/>
    </row>
    <row r="22" spans="2:10" ht="129.75" customHeight="1" x14ac:dyDescent="0.35">
      <c r="B22" s="448"/>
      <c r="C22" s="846" t="s">
        <v>731</v>
      </c>
      <c r="D22" s="455" t="s">
        <v>896</v>
      </c>
      <c r="E22" s="852" t="s">
        <v>826</v>
      </c>
      <c r="F22" s="826"/>
      <c r="G22" s="445" t="s">
        <v>765</v>
      </c>
      <c r="H22" s="445" t="s">
        <v>827</v>
      </c>
      <c r="I22" s="445" t="s">
        <v>828</v>
      </c>
      <c r="J22" s="450"/>
    </row>
    <row r="23" spans="2:10" ht="124.5" customHeight="1" x14ac:dyDescent="0.35">
      <c r="B23" s="448"/>
      <c r="C23" s="846"/>
      <c r="D23" s="444" t="s">
        <v>898</v>
      </c>
      <c r="E23" s="825" t="s">
        <v>764</v>
      </c>
      <c r="F23" s="826"/>
      <c r="G23" s="456" t="s">
        <v>763</v>
      </c>
      <c r="H23" s="457" t="s">
        <v>762</v>
      </c>
      <c r="I23" s="456" t="s">
        <v>761</v>
      </c>
      <c r="J23" s="450"/>
    </row>
    <row r="24" spans="2:10" ht="155.25" customHeight="1" x14ac:dyDescent="0.35">
      <c r="B24" s="448"/>
      <c r="C24" s="846"/>
      <c r="D24" s="444" t="s">
        <v>899</v>
      </c>
      <c r="E24" s="825" t="s">
        <v>760</v>
      </c>
      <c r="F24" s="826"/>
      <c r="G24" s="445" t="s">
        <v>835</v>
      </c>
      <c r="H24" s="445" t="s">
        <v>847</v>
      </c>
      <c r="I24" s="445" t="s">
        <v>829</v>
      </c>
      <c r="J24" s="450"/>
    </row>
    <row r="25" spans="2:10" ht="129.75" customHeight="1" x14ac:dyDescent="0.35">
      <c r="B25" s="448"/>
      <c r="C25" s="846"/>
      <c r="D25" s="444" t="s">
        <v>900</v>
      </c>
      <c r="E25" s="825" t="s">
        <v>759</v>
      </c>
      <c r="F25" s="826"/>
      <c r="G25" s="445" t="s">
        <v>758</v>
      </c>
      <c r="H25" s="445" t="s">
        <v>850</v>
      </c>
      <c r="I25" s="445" t="s">
        <v>757</v>
      </c>
      <c r="J25" s="450"/>
    </row>
    <row r="26" spans="2:10" ht="15" thickBot="1" x14ac:dyDescent="0.4">
      <c r="B26" s="458"/>
      <c r="C26" s="459"/>
      <c r="D26" s="459"/>
      <c r="E26" s="459"/>
      <c r="F26" s="459"/>
      <c r="G26" s="459"/>
      <c r="H26" s="459"/>
      <c r="I26" s="459"/>
      <c r="J26" s="460"/>
    </row>
  </sheetData>
  <mergeCells count="25">
    <mergeCell ref="C22:C25"/>
    <mergeCell ref="C17:C21"/>
    <mergeCell ref="E19:F19"/>
    <mergeCell ref="E24:F24"/>
    <mergeCell ref="E21:F21"/>
    <mergeCell ref="E25:F25"/>
    <mergeCell ref="E23:F23"/>
    <mergeCell ref="E20:F20"/>
    <mergeCell ref="E22:F22"/>
    <mergeCell ref="E12:F12"/>
    <mergeCell ref="C3:I3"/>
    <mergeCell ref="C4:I4"/>
    <mergeCell ref="C5:I5"/>
    <mergeCell ref="E9:F9"/>
    <mergeCell ref="E11:F11"/>
    <mergeCell ref="C6:E6"/>
    <mergeCell ref="E8:F8"/>
    <mergeCell ref="E7:F7"/>
    <mergeCell ref="D8:D10"/>
    <mergeCell ref="E13:F13"/>
    <mergeCell ref="E14:F14"/>
    <mergeCell ref="E15:F15"/>
    <mergeCell ref="E17:F17"/>
    <mergeCell ref="E18:F18"/>
    <mergeCell ref="E16:F16"/>
  </mergeCells>
  <pageMargins left="0.25" right="0.25" top="0.17" bottom="0.17" header="0.17" footer="0.17"/>
  <pageSetup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29"/>
  <sheetViews>
    <sheetView zoomScale="80" zoomScaleNormal="80" workbookViewId="0">
      <selection activeCell="B1" sqref="B1:D28"/>
    </sheetView>
  </sheetViews>
  <sheetFormatPr defaultColWidth="9.1796875" defaultRowHeight="15.5" x14ac:dyDescent="0.35"/>
  <cols>
    <col min="1" max="1" width="1.36328125" style="3" customWidth="1"/>
    <col min="2" max="2" width="2" style="3" customWidth="1"/>
    <col min="3" max="3" width="43" style="3" customWidth="1"/>
    <col min="4" max="4" width="128.26953125" style="3" customWidth="1"/>
    <col min="5" max="5" width="3.81640625" style="3" customWidth="1"/>
    <col min="6" max="6" width="1.36328125" style="3" customWidth="1"/>
    <col min="7" max="16384" width="9.1796875" style="3"/>
  </cols>
  <sheetData>
    <row r="1" spans="2:5" thickBot="1" x14ac:dyDescent="0.4"/>
    <row r="2" spans="2:5" thickBot="1" x14ac:dyDescent="0.4">
      <c r="B2" s="461"/>
      <c r="C2" s="462"/>
      <c r="D2" s="462"/>
      <c r="E2" s="65"/>
    </row>
    <row r="3" spans="2:5" thickBot="1" x14ac:dyDescent="0.4">
      <c r="B3" s="267"/>
      <c r="C3" s="854" t="s">
        <v>263</v>
      </c>
      <c r="D3" s="855"/>
      <c r="E3" s="463"/>
    </row>
    <row r="4" spans="2:5" ht="15" x14ac:dyDescent="0.35">
      <c r="B4" s="267"/>
      <c r="C4" s="464"/>
      <c r="D4" s="464"/>
      <c r="E4" s="463"/>
    </row>
    <row r="5" spans="2:5" thickBot="1" x14ac:dyDescent="0.4">
      <c r="B5" s="267"/>
      <c r="C5" s="465" t="s">
        <v>298</v>
      </c>
      <c r="D5" s="464"/>
      <c r="E5" s="463"/>
    </row>
    <row r="6" spans="2:5" ht="30.5" thickBot="1" x14ac:dyDescent="0.4">
      <c r="B6" s="267"/>
      <c r="C6" s="466" t="s">
        <v>264</v>
      </c>
      <c r="D6" s="467" t="s">
        <v>265</v>
      </c>
      <c r="E6" s="463"/>
    </row>
    <row r="7" spans="2:5" ht="146.25" customHeight="1" thickBot="1" x14ac:dyDescent="0.4">
      <c r="B7" s="267"/>
      <c r="C7" s="468" t="s">
        <v>301</v>
      </c>
      <c r="D7" s="469" t="s">
        <v>1000</v>
      </c>
      <c r="E7" s="463"/>
    </row>
    <row r="8" spans="2:5" ht="126.75" customHeight="1" thickBot="1" x14ac:dyDescent="0.4">
      <c r="B8" s="267"/>
      <c r="C8" s="470" t="s">
        <v>302</v>
      </c>
      <c r="D8" s="471" t="s">
        <v>836</v>
      </c>
      <c r="E8" s="463"/>
    </row>
    <row r="9" spans="2:5" ht="85.5" customHeight="1" thickBot="1" x14ac:dyDescent="0.4">
      <c r="B9" s="267"/>
      <c r="C9" s="472" t="s">
        <v>266</v>
      </c>
      <c r="D9" s="473" t="s">
        <v>837</v>
      </c>
      <c r="E9" s="463"/>
    </row>
    <row r="10" spans="2:5" ht="93.5" thickBot="1" x14ac:dyDescent="0.4">
      <c r="B10" s="267"/>
      <c r="C10" s="468" t="s">
        <v>279</v>
      </c>
      <c r="D10" s="474" t="s">
        <v>838</v>
      </c>
      <c r="E10" s="463"/>
    </row>
    <row r="11" spans="2:5" x14ac:dyDescent="0.35">
      <c r="B11" s="267"/>
      <c r="C11" s="464"/>
      <c r="D11" s="464"/>
      <c r="E11" s="463"/>
    </row>
    <row r="12" spans="2:5" ht="16" thickBot="1" x14ac:dyDescent="0.4">
      <c r="B12" s="267"/>
      <c r="C12" s="856" t="s">
        <v>1001</v>
      </c>
      <c r="D12" s="856"/>
      <c r="E12" s="463"/>
    </row>
    <row r="13" spans="2:5" ht="16" thickBot="1" x14ac:dyDescent="0.4">
      <c r="B13" s="267"/>
      <c r="C13" s="475" t="s">
        <v>267</v>
      </c>
      <c r="D13" s="475" t="s">
        <v>265</v>
      </c>
      <c r="E13" s="463"/>
    </row>
    <row r="14" spans="2:5" ht="16" thickBot="1" x14ac:dyDescent="0.4">
      <c r="B14" s="267"/>
      <c r="C14" s="853" t="s">
        <v>299</v>
      </c>
      <c r="D14" s="853"/>
      <c r="E14" s="463"/>
    </row>
    <row r="15" spans="2:5" ht="119.25" customHeight="1" thickBot="1" x14ac:dyDescent="0.4">
      <c r="B15" s="267"/>
      <c r="C15" s="472" t="s">
        <v>303</v>
      </c>
      <c r="D15" s="476" t="s">
        <v>742</v>
      </c>
      <c r="E15" s="463"/>
    </row>
    <row r="16" spans="2:5" ht="78" thickBot="1" x14ac:dyDescent="0.4">
      <c r="B16" s="267"/>
      <c r="C16" s="472" t="s">
        <v>304</v>
      </c>
      <c r="D16" s="477" t="s">
        <v>742</v>
      </c>
      <c r="E16" s="463"/>
    </row>
    <row r="17" spans="2:5" ht="16" thickBot="1" x14ac:dyDescent="0.4">
      <c r="B17" s="267"/>
      <c r="C17" s="853" t="s">
        <v>300</v>
      </c>
      <c r="D17" s="853"/>
      <c r="E17" s="463"/>
    </row>
    <row r="18" spans="2:5" ht="117.75" customHeight="1" thickBot="1" x14ac:dyDescent="0.4">
      <c r="B18" s="267"/>
      <c r="C18" s="472" t="s">
        <v>305</v>
      </c>
      <c r="D18" s="478" t="s">
        <v>742</v>
      </c>
      <c r="E18" s="463"/>
    </row>
    <row r="19" spans="2:5" ht="78" thickBot="1" x14ac:dyDescent="0.4">
      <c r="B19" s="267"/>
      <c r="C19" s="472" t="s">
        <v>297</v>
      </c>
      <c r="D19" s="478" t="s">
        <v>742</v>
      </c>
      <c r="E19" s="463"/>
    </row>
    <row r="20" spans="2:5" ht="16" thickBot="1" x14ac:dyDescent="0.4">
      <c r="B20" s="267"/>
      <c r="C20" s="853" t="s">
        <v>268</v>
      </c>
      <c r="D20" s="853"/>
      <c r="E20" s="463"/>
    </row>
    <row r="21" spans="2:5" ht="74.25" customHeight="1" thickBot="1" x14ac:dyDescent="0.4">
      <c r="B21" s="267"/>
      <c r="C21" s="366" t="s">
        <v>269</v>
      </c>
      <c r="D21" s="478" t="s">
        <v>742</v>
      </c>
      <c r="E21" s="463"/>
    </row>
    <row r="22" spans="2:5" ht="77.25" customHeight="1" thickBot="1" x14ac:dyDescent="0.4">
      <c r="B22" s="267"/>
      <c r="C22" s="366" t="s">
        <v>270</v>
      </c>
      <c r="D22" s="478" t="s">
        <v>742</v>
      </c>
      <c r="E22" s="463"/>
    </row>
    <row r="23" spans="2:5" ht="40.5" customHeight="1" thickBot="1" x14ac:dyDescent="0.4">
      <c r="B23" s="267"/>
      <c r="C23" s="366" t="s">
        <v>271</v>
      </c>
      <c r="D23" s="478" t="s">
        <v>742</v>
      </c>
      <c r="E23" s="463"/>
    </row>
    <row r="24" spans="2:5" ht="16" thickBot="1" x14ac:dyDescent="0.4">
      <c r="B24" s="267"/>
      <c r="C24" s="853" t="s">
        <v>272</v>
      </c>
      <c r="D24" s="853"/>
      <c r="E24" s="463"/>
    </row>
    <row r="25" spans="2:5" ht="78" thickBot="1" x14ac:dyDescent="0.4">
      <c r="B25" s="267"/>
      <c r="C25" s="472" t="s">
        <v>306</v>
      </c>
      <c r="D25" s="479" t="s">
        <v>778</v>
      </c>
      <c r="E25" s="463"/>
    </row>
    <row r="26" spans="2:5" ht="47" thickBot="1" x14ac:dyDescent="0.4">
      <c r="B26" s="267"/>
      <c r="C26" s="472" t="s">
        <v>307</v>
      </c>
      <c r="D26" s="479" t="s">
        <v>778</v>
      </c>
      <c r="E26" s="463"/>
    </row>
    <row r="27" spans="2:5" ht="93.5" thickBot="1" x14ac:dyDescent="0.4">
      <c r="B27" s="267"/>
      <c r="C27" s="472" t="s">
        <v>273</v>
      </c>
      <c r="D27" s="480" t="s">
        <v>779</v>
      </c>
      <c r="E27" s="463"/>
    </row>
    <row r="28" spans="2:5" ht="62.5" thickBot="1" x14ac:dyDescent="0.4">
      <c r="B28" s="267"/>
      <c r="C28" s="472" t="s">
        <v>308</v>
      </c>
      <c r="D28" s="479" t="s">
        <v>778</v>
      </c>
      <c r="E28" s="463"/>
    </row>
    <row r="29" spans="2:5" ht="16" thickBot="1" x14ac:dyDescent="0.4">
      <c r="B29" s="481"/>
      <c r="C29" s="482"/>
      <c r="D29" s="482"/>
      <c r="E29" s="483"/>
    </row>
  </sheetData>
  <mergeCells count="6">
    <mergeCell ref="C24:D24"/>
    <mergeCell ref="C3:D3"/>
    <mergeCell ref="C12:D12"/>
    <mergeCell ref="C14:D14"/>
    <mergeCell ref="C17:D17"/>
    <mergeCell ref="C20:D20"/>
  </mergeCells>
  <pageMargins left="0.2" right="0.2" top="0.17" bottom="0.17" header="0.17" footer="0.44"/>
  <pageSetup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1"/>
  <sheetViews>
    <sheetView showGridLines="0" topLeftCell="A66" zoomScale="80" zoomScaleNormal="80" workbookViewId="0">
      <selection activeCell="E15" sqref="E15"/>
    </sheetView>
  </sheetViews>
  <sheetFormatPr defaultColWidth="9.1796875" defaultRowHeight="15.5" outlineLevelRow="1" x14ac:dyDescent="0.35"/>
  <cols>
    <col min="1" max="1" width="3" style="492" customWidth="1"/>
    <col min="2" max="2" width="28.54296875" style="492" customWidth="1"/>
    <col min="3" max="3" width="72.81640625" style="492" customWidth="1"/>
    <col min="4" max="4" width="36.36328125" style="492" customWidth="1"/>
    <col min="5" max="5" width="32" style="492" customWidth="1"/>
    <col min="6" max="6" width="26.7265625" style="492" customWidth="1"/>
    <col min="7" max="7" width="26.36328125" style="492" bestFit="1" customWidth="1"/>
    <col min="8" max="8" width="30" style="492" customWidth="1"/>
    <col min="9" max="9" width="30.54296875" style="492" customWidth="1"/>
    <col min="10" max="10" width="25.81640625" style="492" customWidth="1"/>
    <col min="11" max="11" width="31" style="492" bestFit="1" customWidth="1"/>
    <col min="12" max="12" width="30.26953125" style="492" customWidth="1"/>
    <col min="13" max="13" width="27.1796875" style="492" bestFit="1" customWidth="1"/>
    <col min="14" max="14" width="25" style="492" customWidth="1"/>
    <col min="15" max="15" width="25.81640625" style="492" bestFit="1" customWidth="1"/>
    <col min="16" max="16" width="30.26953125" style="492" customWidth="1"/>
    <col min="17" max="17" width="27.1796875" style="492" bestFit="1" customWidth="1"/>
    <col min="18" max="18" width="24.26953125" style="492" customWidth="1"/>
    <col min="19" max="19" width="23.1796875" style="492" bestFit="1" customWidth="1"/>
    <col min="20" max="20" width="27.7265625" style="492" customWidth="1"/>
    <col min="21" max="16384" width="9.1796875" style="492"/>
  </cols>
  <sheetData>
    <row r="1" spans="2:19" thickBot="1" x14ac:dyDescent="0.4"/>
    <row r="2" spans="2:19" ht="15" x14ac:dyDescent="0.35">
      <c r="B2" s="484"/>
      <c r="C2" s="876"/>
      <c r="D2" s="876"/>
      <c r="E2" s="876"/>
      <c r="F2" s="876"/>
      <c r="G2" s="876"/>
      <c r="H2" s="462"/>
      <c r="I2" s="462"/>
      <c r="J2" s="462"/>
      <c r="K2" s="462"/>
      <c r="L2" s="462"/>
      <c r="M2" s="462"/>
      <c r="N2" s="462"/>
      <c r="O2" s="462"/>
      <c r="P2" s="462"/>
      <c r="Q2" s="462"/>
      <c r="R2" s="462"/>
      <c r="S2" s="65"/>
    </row>
    <row r="3" spans="2:19" ht="15" x14ac:dyDescent="0.35">
      <c r="B3" s="485"/>
      <c r="C3" s="882" t="s">
        <v>293</v>
      </c>
      <c r="D3" s="883"/>
      <c r="E3" s="883"/>
      <c r="F3" s="883"/>
      <c r="G3" s="884"/>
      <c r="H3" s="487"/>
      <c r="I3" s="487"/>
      <c r="J3" s="487"/>
      <c r="K3" s="487"/>
      <c r="L3" s="487"/>
      <c r="M3" s="487"/>
      <c r="N3" s="487"/>
      <c r="O3" s="487"/>
      <c r="P3" s="487"/>
      <c r="Q3" s="487"/>
      <c r="R3" s="487"/>
      <c r="S3" s="463"/>
    </row>
    <row r="4" spans="2:19" ht="15" x14ac:dyDescent="0.35">
      <c r="B4" s="485"/>
      <c r="C4" s="486"/>
      <c r="D4" s="486"/>
      <c r="E4" s="486"/>
      <c r="F4" s="486"/>
      <c r="G4" s="486"/>
      <c r="H4" s="487"/>
      <c r="I4" s="487"/>
      <c r="J4" s="487"/>
      <c r="K4" s="487"/>
      <c r="L4" s="487"/>
      <c r="M4" s="487"/>
      <c r="N4" s="487"/>
      <c r="O4" s="487"/>
      <c r="P4" s="487"/>
      <c r="Q4" s="487"/>
      <c r="R4" s="487"/>
      <c r="S4" s="463"/>
    </row>
    <row r="5" spans="2:19" thickBot="1" x14ac:dyDescent="0.4">
      <c r="B5" s="267"/>
      <c r="C5" s="487"/>
      <c r="D5" s="487"/>
      <c r="E5" s="487"/>
      <c r="F5" s="487"/>
      <c r="G5" s="487"/>
      <c r="H5" s="487"/>
      <c r="I5" s="487"/>
      <c r="J5" s="487"/>
      <c r="K5" s="487"/>
      <c r="L5" s="487"/>
      <c r="M5" s="487"/>
      <c r="N5" s="487"/>
      <c r="O5" s="487"/>
      <c r="P5" s="487"/>
      <c r="Q5" s="487"/>
      <c r="R5" s="487"/>
      <c r="S5" s="463"/>
    </row>
    <row r="6" spans="2:19" ht="48.75" customHeight="1" thickBot="1" x14ac:dyDescent="0.4">
      <c r="B6" s="877" t="s">
        <v>1002</v>
      </c>
      <c r="C6" s="878"/>
      <c r="D6" s="878"/>
      <c r="E6" s="878"/>
      <c r="F6" s="878"/>
      <c r="G6" s="878"/>
      <c r="H6" s="488"/>
      <c r="I6" s="488"/>
      <c r="J6" s="488"/>
      <c r="K6" s="488"/>
      <c r="L6" s="488"/>
      <c r="M6" s="488"/>
      <c r="N6" s="488"/>
      <c r="O6" s="488"/>
      <c r="P6" s="488"/>
      <c r="Q6" s="488"/>
      <c r="R6" s="488"/>
      <c r="S6" s="489"/>
    </row>
    <row r="7" spans="2:19" ht="15.75" customHeight="1" x14ac:dyDescent="0.35">
      <c r="B7" s="877" t="s">
        <v>1003</v>
      </c>
      <c r="C7" s="879"/>
      <c r="D7" s="879"/>
      <c r="E7" s="879"/>
      <c r="F7" s="879"/>
      <c r="G7" s="879"/>
      <c r="H7" s="488"/>
      <c r="I7" s="488"/>
      <c r="J7" s="488"/>
      <c r="K7" s="488"/>
      <c r="L7" s="488"/>
      <c r="M7" s="488"/>
      <c r="N7" s="488"/>
      <c r="O7" s="488"/>
      <c r="P7" s="488"/>
      <c r="Q7" s="488"/>
      <c r="R7" s="488"/>
      <c r="S7" s="489"/>
    </row>
    <row r="8" spans="2:19" ht="33.75" customHeight="1" thickBot="1" x14ac:dyDescent="0.4">
      <c r="B8" s="880" t="s">
        <v>245</v>
      </c>
      <c r="C8" s="881"/>
      <c r="D8" s="881"/>
      <c r="E8" s="881"/>
      <c r="F8" s="881"/>
      <c r="G8" s="881"/>
      <c r="H8" s="493"/>
      <c r="I8" s="493"/>
      <c r="J8" s="493"/>
      <c r="K8" s="493"/>
      <c r="L8" s="493"/>
      <c r="M8" s="493"/>
      <c r="N8" s="493"/>
      <c r="O8" s="493"/>
      <c r="P8" s="493"/>
      <c r="Q8" s="493"/>
      <c r="R8" s="493"/>
      <c r="S8" s="494"/>
    </row>
    <row r="10" spans="2:19" ht="15" x14ac:dyDescent="0.35">
      <c r="B10" s="956" t="s">
        <v>312</v>
      </c>
      <c r="C10" s="956"/>
    </row>
    <row r="11" spans="2:19" thickBot="1" x14ac:dyDescent="0.4"/>
    <row r="12" spans="2:19" ht="15" customHeight="1" thickBot="1" x14ac:dyDescent="0.4">
      <c r="B12" s="495" t="s">
        <v>313</v>
      </c>
      <c r="C12" s="496" t="s">
        <v>780</v>
      </c>
    </row>
    <row r="13" spans="2:19" ht="15.75" customHeight="1" thickBot="1" x14ac:dyDescent="0.4">
      <c r="B13" s="495" t="s">
        <v>282</v>
      </c>
      <c r="C13" s="496" t="s">
        <v>781</v>
      </c>
    </row>
    <row r="14" spans="2:19" ht="15.75" customHeight="1" thickBot="1" x14ac:dyDescent="0.4">
      <c r="B14" s="495" t="s">
        <v>653</v>
      </c>
      <c r="C14" s="496" t="s">
        <v>594</v>
      </c>
    </row>
    <row r="15" spans="2:19" ht="15.75" customHeight="1" thickBot="1" x14ac:dyDescent="0.4">
      <c r="B15" s="495" t="s">
        <v>314</v>
      </c>
      <c r="C15" s="496" t="s">
        <v>88</v>
      </c>
    </row>
    <row r="16" spans="2:19" thickBot="1" x14ac:dyDescent="0.4">
      <c r="B16" s="495" t="s">
        <v>315</v>
      </c>
      <c r="C16" s="496" t="s">
        <v>595</v>
      </c>
    </row>
    <row r="17" spans="2:19" thickBot="1" x14ac:dyDescent="0.4">
      <c r="B17" s="495" t="s">
        <v>316</v>
      </c>
      <c r="C17" s="496" t="s">
        <v>433</v>
      </c>
    </row>
    <row r="18" spans="2:19" thickBot="1" x14ac:dyDescent="0.4"/>
    <row r="19" spans="2:19" thickBot="1" x14ac:dyDescent="0.4">
      <c r="D19" s="904" t="s">
        <v>317</v>
      </c>
      <c r="E19" s="905"/>
      <c r="F19" s="905"/>
      <c r="G19" s="906"/>
      <c r="H19" s="904" t="s">
        <v>318</v>
      </c>
      <c r="I19" s="905"/>
      <c r="J19" s="905"/>
      <c r="K19" s="906"/>
      <c r="L19" s="904" t="s">
        <v>319</v>
      </c>
      <c r="M19" s="905"/>
      <c r="N19" s="905"/>
      <c r="O19" s="906"/>
      <c r="P19" s="904" t="s">
        <v>320</v>
      </c>
      <c r="Q19" s="905"/>
      <c r="R19" s="905"/>
      <c r="S19" s="906"/>
    </row>
    <row r="20" spans="2:19" ht="45" customHeight="1" thickBot="1" x14ac:dyDescent="0.4">
      <c r="B20" s="897" t="s">
        <v>321</v>
      </c>
      <c r="C20" s="957" t="s">
        <v>1004</v>
      </c>
      <c r="D20" s="497"/>
      <c r="E20" s="498" t="s">
        <v>322</v>
      </c>
      <c r="F20" s="499" t="s">
        <v>323</v>
      </c>
      <c r="G20" s="500" t="s">
        <v>324</v>
      </c>
      <c r="H20" s="497"/>
      <c r="I20" s="498" t="s">
        <v>322</v>
      </c>
      <c r="J20" s="499" t="s">
        <v>323</v>
      </c>
      <c r="K20" s="500" t="s">
        <v>324</v>
      </c>
      <c r="L20" s="497"/>
      <c r="M20" s="498" t="s">
        <v>322</v>
      </c>
      <c r="N20" s="499" t="s">
        <v>323</v>
      </c>
      <c r="O20" s="500" t="s">
        <v>324</v>
      </c>
      <c r="P20" s="497"/>
      <c r="Q20" s="498" t="s">
        <v>322</v>
      </c>
      <c r="R20" s="499" t="s">
        <v>323</v>
      </c>
      <c r="S20" s="500" t="s">
        <v>324</v>
      </c>
    </row>
    <row r="21" spans="2:19" ht="40.5" customHeight="1" x14ac:dyDescent="0.35">
      <c r="B21" s="930"/>
      <c r="C21" s="958"/>
      <c r="D21" s="501" t="s">
        <v>325</v>
      </c>
      <c r="E21" s="490">
        <f>SUM(F21+G21)</f>
        <v>1100</v>
      </c>
      <c r="F21" s="502">
        <v>1100</v>
      </c>
      <c r="G21" s="503">
        <v>0</v>
      </c>
      <c r="H21" s="504" t="s">
        <v>325</v>
      </c>
      <c r="I21" s="505">
        <f>(J21+K21)</f>
        <v>91096</v>
      </c>
      <c r="J21" s="506">
        <v>19096</v>
      </c>
      <c r="K21" s="507">
        <v>72000</v>
      </c>
      <c r="L21" s="501" t="s">
        <v>325</v>
      </c>
      <c r="M21" s="505"/>
      <c r="N21" s="506"/>
      <c r="O21" s="507"/>
      <c r="P21" s="501" t="s">
        <v>325</v>
      </c>
      <c r="Q21" s="505"/>
      <c r="R21" s="506"/>
      <c r="S21" s="507"/>
    </row>
    <row r="22" spans="2:19" ht="39.75" customHeight="1" x14ac:dyDescent="0.35">
      <c r="B22" s="930"/>
      <c r="C22" s="958"/>
      <c r="D22" s="508" t="s">
        <v>326</v>
      </c>
      <c r="E22" s="509">
        <v>0</v>
      </c>
      <c r="F22" s="510">
        <v>49.37</v>
      </c>
      <c r="G22" s="511">
        <v>0</v>
      </c>
      <c r="H22" s="512" t="s">
        <v>326</v>
      </c>
      <c r="I22" s="513">
        <v>49.4</v>
      </c>
      <c r="J22" s="514">
        <v>0.49359999999999998</v>
      </c>
      <c r="K22" s="515">
        <v>0.49719999999999998</v>
      </c>
      <c r="L22" s="508" t="s">
        <v>326</v>
      </c>
      <c r="M22" s="514"/>
      <c r="N22" s="514"/>
      <c r="O22" s="515"/>
      <c r="P22" s="508" t="s">
        <v>326</v>
      </c>
      <c r="Q22" s="514"/>
      <c r="R22" s="514"/>
      <c r="S22" s="515"/>
    </row>
    <row r="23" spans="2:19" ht="37.5" customHeight="1" x14ac:dyDescent="0.35">
      <c r="B23" s="898"/>
      <c r="C23" s="959"/>
      <c r="D23" s="508" t="s">
        <v>327</v>
      </c>
      <c r="E23" s="509">
        <v>0</v>
      </c>
      <c r="F23" s="510">
        <v>22.81</v>
      </c>
      <c r="G23" s="511">
        <v>0</v>
      </c>
      <c r="H23" s="512" t="s">
        <v>327</v>
      </c>
      <c r="I23" s="514">
        <v>0.214</v>
      </c>
      <c r="J23" s="513">
        <v>21.8</v>
      </c>
      <c r="K23" s="515">
        <v>0.215</v>
      </c>
      <c r="L23" s="508" t="s">
        <v>327</v>
      </c>
      <c r="M23" s="514"/>
      <c r="N23" s="514"/>
      <c r="O23" s="515"/>
      <c r="P23" s="508" t="s">
        <v>327</v>
      </c>
      <c r="Q23" s="514"/>
      <c r="R23" s="514"/>
      <c r="S23" s="515"/>
    </row>
    <row r="24" spans="2:19" thickBot="1" x14ac:dyDescent="0.4">
      <c r="B24" s="516"/>
      <c r="C24" s="516"/>
      <c r="Q24" s="517"/>
      <c r="R24" s="517"/>
      <c r="S24" s="517"/>
    </row>
    <row r="25" spans="2:19" ht="30" customHeight="1" thickBot="1" x14ac:dyDescent="0.4">
      <c r="B25" s="516"/>
      <c r="C25" s="516"/>
      <c r="D25" s="904" t="s">
        <v>317</v>
      </c>
      <c r="E25" s="905"/>
      <c r="F25" s="905"/>
      <c r="G25" s="906"/>
      <c r="H25" s="904" t="s">
        <v>318</v>
      </c>
      <c r="I25" s="905"/>
      <c r="J25" s="905"/>
      <c r="K25" s="906"/>
      <c r="L25" s="904" t="s">
        <v>319</v>
      </c>
      <c r="M25" s="905"/>
      <c r="N25" s="905"/>
      <c r="O25" s="906"/>
      <c r="P25" s="904" t="s">
        <v>320</v>
      </c>
      <c r="Q25" s="905"/>
      <c r="R25" s="905"/>
      <c r="S25" s="906"/>
    </row>
    <row r="26" spans="2:19" ht="47.25" customHeight="1" x14ac:dyDescent="0.35">
      <c r="B26" s="897" t="s">
        <v>328</v>
      </c>
      <c r="C26" s="897" t="s">
        <v>329</v>
      </c>
      <c r="D26" s="942" t="s">
        <v>330</v>
      </c>
      <c r="E26" s="943"/>
      <c r="F26" s="518" t="s">
        <v>331</v>
      </c>
      <c r="G26" s="519" t="s">
        <v>332</v>
      </c>
      <c r="H26" s="942" t="s">
        <v>330</v>
      </c>
      <c r="I26" s="943"/>
      <c r="J26" s="518" t="s">
        <v>331</v>
      </c>
      <c r="K26" s="519" t="s">
        <v>332</v>
      </c>
      <c r="L26" s="942" t="s">
        <v>330</v>
      </c>
      <c r="M26" s="943"/>
      <c r="N26" s="518" t="s">
        <v>331</v>
      </c>
      <c r="O26" s="519" t="s">
        <v>332</v>
      </c>
      <c r="P26" s="942" t="s">
        <v>330</v>
      </c>
      <c r="Q26" s="943"/>
      <c r="R26" s="518" t="s">
        <v>331</v>
      </c>
      <c r="S26" s="519" t="s">
        <v>332</v>
      </c>
    </row>
    <row r="27" spans="2:19" ht="51" customHeight="1" x14ac:dyDescent="0.35">
      <c r="B27" s="930"/>
      <c r="C27" s="930"/>
      <c r="D27" s="520" t="s">
        <v>325</v>
      </c>
      <c r="E27" s="521">
        <v>0</v>
      </c>
      <c r="F27" s="950" t="s">
        <v>413</v>
      </c>
      <c r="G27" s="952" t="s">
        <v>523</v>
      </c>
      <c r="H27" s="520" t="s">
        <v>325</v>
      </c>
      <c r="I27" s="522">
        <v>6200</v>
      </c>
      <c r="J27" s="946" t="s">
        <v>413</v>
      </c>
      <c r="K27" s="948" t="s">
        <v>496</v>
      </c>
      <c r="L27" s="520" t="s">
        <v>325</v>
      </c>
      <c r="M27" s="523"/>
      <c r="N27" s="946"/>
      <c r="O27" s="948"/>
      <c r="P27" s="520" t="s">
        <v>325</v>
      </c>
      <c r="Q27" s="523"/>
      <c r="R27" s="946"/>
      <c r="S27" s="948"/>
    </row>
    <row r="28" spans="2:19" ht="51" customHeight="1" x14ac:dyDescent="0.35">
      <c r="B28" s="898"/>
      <c r="C28" s="898"/>
      <c r="D28" s="524" t="s">
        <v>333</v>
      </c>
      <c r="E28" s="525">
        <v>0</v>
      </c>
      <c r="F28" s="951"/>
      <c r="G28" s="953"/>
      <c r="H28" s="524" t="s">
        <v>333</v>
      </c>
      <c r="I28" s="491">
        <v>0.6</v>
      </c>
      <c r="J28" s="947"/>
      <c r="K28" s="949"/>
      <c r="L28" s="524" t="s">
        <v>333</v>
      </c>
      <c r="M28" s="526"/>
      <c r="N28" s="947"/>
      <c r="O28" s="949"/>
      <c r="P28" s="524" t="s">
        <v>333</v>
      </c>
      <c r="Q28" s="526"/>
      <c r="R28" s="947"/>
      <c r="S28" s="949"/>
    </row>
    <row r="29" spans="2:19" ht="58.5" customHeight="1" x14ac:dyDescent="0.35">
      <c r="B29" s="885" t="s">
        <v>334</v>
      </c>
      <c r="C29" s="899" t="s">
        <v>335</v>
      </c>
      <c r="D29" s="527" t="s">
        <v>336</v>
      </c>
      <c r="E29" s="528" t="s">
        <v>316</v>
      </c>
      <c r="F29" s="528" t="s">
        <v>337</v>
      </c>
      <c r="G29" s="529" t="s">
        <v>338</v>
      </c>
      <c r="H29" s="527" t="s">
        <v>336</v>
      </c>
      <c r="I29" s="528" t="s">
        <v>316</v>
      </c>
      <c r="J29" s="528" t="s">
        <v>337</v>
      </c>
      <c r="K29" s="529" t="s">
        <v>338</v>
      </c>
      <c r="L29" s="527" t="s">
        <v>336</v>
      </c>
      <c r="M29" s="528" t="s">
        <v>316</v>
      </c>
      <c r="N29" s="528" t="s">
        <v>337</v>
      </c>
      <c r="O29" s="529" t="s">
        <v>338</v>
      </c>
      <c r="P29" s="527" t="s">
        <v>336</v>
      </c>
      <c r="Q29" s="528" t="s">
        <v>316</v>
      </c>
      <c r="R29" s="528" t="s">
        <v>337</v>
      </c>
      <c r="S29" s="529" t="s">
        <v>338</v>
      </c>
    </row>
    <row r="30" spans="2:19" ht="39" customHeight="1" x14ac:dyDescent="0.35">
      <c r="B30" s="896"/>
      <c r="C30" s="900"/>
      <c r="D30" s="530">
        <v>1</v>
      </c>
      <c r="E30" s="531" t="s">
        <v>472</v>
      </c>
      <c r="F30" s="531" t="s">
        <v>483</v>
      </c>
      <c r="G30" s="532" t="s">
        <v>1011</v>
      </c>
      <c r="H30" s="505">
        <v>1</v>
      </c>
      <c r="I30" s="533" t="s">
        <v>488</v>
      </c>
      <c r="J30" s="505" t="s">
        <v>483</v>
      </c>
      <c r="K30" s="534" t="s">
        <v>1011</v>
      </c>
      <c r="L30" s="505"/>
      <c r="M30" s="535"/>
      <c r="N30" s="505"/>
      <c r="O30" s="536"/>
      <c r="P30" s="505"/>
      <c r="Q30" s="535"/>
      <c r="R30" s="505"/>
      <c r="S30" s="536"/>
    </row>
    <row r="31" spans="2:19" ht="36.75" hidden="1" customHeight="1" outlineLevel="1" x14ac:dyDescent="0.35">
      <c r="B31" s="896"/>
      <c r="C31" s="900"/>
      <c r="D31" s="527" t="s">
        <v>336</v>
      </c>
      <c r="E31" s="528" t="s">
        <v>316</v>
      </c>
      <c r="F31" s="528" t="s">
        <v>337</v>
      </c>
      <c r="G31" s="529" t="s">
        <v>338</v>
      </c>
      <c r="H31" s="527" t="s">
        <v>336</v>
      </c>
      <c r="I31" s="528" t="s">
        <v>316</v>
      </c>
      <c r="J31" s="528" t="s">
        <v>337</v>
      </c>
      <c r="K31" s="529" t="s">
        <v>338</v>
      </c>
      <c r="L31" s="527" t="s">
        <v>336</v>
      </c>
      <c r="M31" s="528" t="s">
        <v>316</v>
      </c>
      <c r="N31" s="528" t="s">
        <v>337</v>
      </c>
      <c r="O31" s="529" t="s">
        <v>338</v>
      </c>
      <c r="P31" s="527" t="s">
        <v>336</v>
      </c>
      <c r="Q31" s="528" t="s">
        <v>316</v>
      </c>
      <c r="R31" s="528" t="s">
        <v>337</v>
      </c>
      <c r="S31" s="529" t="s">
        <v>338</v>
      </c>
    </row>
    <row r="32" spans="2:19" ht="30" hidden="1" customHeight="1" outlineLevel="1" x14ac:dyDescent="0.35">
      <c r="B32" s="896"/>
      <c r="C32" s="900"/>
      <c r="D32" s="537"/>
      <c r="E32" s="531"/>
      <c r="F32" s="531"/>
      <c r="G32" s="538"/>
      <c r="H32" s="505"/>
      <c r="I32" s="535"/>
      <c r="J32" s="505"/>
      <c r="K32" s="536"/>
      <c r="L32" s="505"/>
      <c r="M32" s="535"/>
      <c r="N32" s="505"/>
      <c r="O32" s="536"/>
      <c r="P32" s="505"/>
      <c r="Q32" s="535"/>
      <c r="R32" s="505"/>
      <c r="S32" s="536"/>
    </row>
    <row r="33" spans="2:19" ht="36" hidden="1" customHeight="1" outlineLevel="1" x14ac:dyDescent="0.35">
      <c r="B33" s="896"/>
      <c r="C33" s="900"/>
      <c r="D33" s="527" t="s">
        <v>336</v>
      </c>
      <c r="E33" s="528" t="s">
        <v>316</v>
      </c>
      <c r="F33" s="528" t="s">
        <v>337</v>
      </c>
      <c r="G33" s="529" t="s">
        <v>338</v>
      </c>
      <c r="H33" s="527" t="s">
        <v>336</v>
      </c>
      <c r="I33" s="528" t="s">
        <v>316</v>
      </c>
      <c r="J33" s="528" t="s">
        <v>337</v>
      </c>
      <c r="K33" s="529" t="s">
        <v>338</v>
      </c>
      <c r="L33" s="527" t="s">
        <v>336</v>
      </c>
      <c r="M33" s="528" t="s">
        <v>316</v>
      </c>
      <c r="N33" s="528" t="s">
        <v>337</v>
      </c>
      <c r="O33" s="529" t="s">
        <v>338</v>
      </c>
      <c r="P33" s="527" t="s">
        <v>336</v>
      </c>
      <c r="Q33" s="528" t="s">
        <v>316</v>
      </c>
      <c r="R33" s="528" t="s">
        <v>337</v>
      </c>
      <c r="S33" s="529" t="s">
        <v>338</v>
      </c>
    </row>
    <row r="34" spans="2:19" ht="30" hidden="1" customHeight="1" outlineLevel="1" x14ac:dyDescent="0.35">
      <c r="B34" s="896"/>
      <c r="C34" s="900"/>
      <c r="D34" s="537"/>
      <c r="E34" s="531"/>
      <c r="F34" s="531"/>
      <c r="G34" s="538"/>
      <c r="H34" s="505"/>
      <c r="I34" s="535"/>
      <c r="J34" s="505"/>
      <c r="K34" s="536"/>
      <c r="L34" s="505"/>
      <c r="M34" s="535"/>
      <c r="N34" s="505"/>
      <c r="O34" s="536"/>
      <c r="P34" s="505"/>
      <c r="Q34" s="535"/>
      <c r="R34" s="505"/>
      <c r="S34" s="536"/>
    </row>
    <row r="35" spans="2:19" ht="39" hidden="1" customHeight="1" outlineLevel="1" x14ac:dyDescent="0.35">
      <c r="B35" s="896"/>
      <c r="C35" s="900"/>
      <c r="D35" s="527" t="s">
        <v>336</v>
      </c>
      <c r="E35" s="528" t="s">
        <v>316</v>
      </c>
      <c r="F35" s="528" t="s">
        <v>337</v>
      </c>
      <c r="G35" s="529" t="s">
        <v>338</v>
      </c>
      <c r="H35" s="527" t="s">
        <v>336</v>
      </c>
      <c r="I35" s="528" t="s">
        <v>316</v>
      </c>
      <c r="J35" s="528" t="s">
        <v>337</v>
      </c>
      <c r="K35" s="529" t="s">
        <v>338</v>
      </c>
      <c r="L35" s="527" t="s">
        <v>336</v>
      </c>
      <c r="M35" s="528" t="s">
        <v>316</v>
      </c>
      <c r="N35" s="528" t="s">
        <v>337</v>
      </c>
      <c r="O35" s="529" t="s">
        <v>338</v>
      </c>
      <c r="P35" s="527" t="s">
        <v>336</v>
      </c>
      <c r="Q35" s="528" t="s">
        <v>316</v>
      </c>
      <c r="R35" s="528" t="s">
        <v>337</v>
      </c>
      <c r="S35" s="529" t="s">
        <v>338</v>
      </c>
    </row>
    <row r="36" spans="2:19" ht="30" hidden="1" customHeight="1" outlineLevel="1" x14ac:dyDescent="0.35">
      <c r="B36" s="896"/>
      <c r="C36" s="900"/>
      <c r="D36" s="537"/>
      <c r="E36" s="531"/>
      <c r="F36" s="531"/>
      <c r="G36" s="538"/>
      <c r="H36" s="505"/>
      <c r="I36" s="535"/>
      <c r="J36" s="505"/>
      <c r="K36" s="536"/>
      <c r="L36" s="505"/>
      <c r="M36" s="535"/>
      <c r="N36" s="505"/>
      <c r="O36" s="536"/>
      <c r="P36" s="505"/>
      <c r="Q36" s="535"/>
      <c r="R36" s="505"/>
      <c r="S36" s="536"/>
    </row>
    <row r="37" spans="2:19" ht="36.75" hidden="1" customHeight="1" outlineLevel="1" x14ac:dyDescent="0.35">
      <c r="B37" s="896"/>
      <c r="C37" s="900"/>
      <c r="D37" s="527" t="s">
        <v>336</v>
      </c>
      <c r="E37" s="528" t="s">
        <v>316</v>
      </c>
      <c r="F37" s="528" t="s">
        <v>337</v>
      </c>
      <c r="G37" s="529" t="s">
        <v>338</v>
      </c>
      <c r="H37" s="527" t="s">
        <v>336</v>
      </c>
      <c r="I37" s="528" t="s">
        <v>316</v>
      </c>
      <c r="J37" s="528" t="s">
        <v>337</v>
      </c>
      <c r="K37" s="529" t="s">
        <v>338</v>
      </c>
      <c r="L37" s="527" t="s">
        <v>336</v>
      </c>
      <c r="M37" s="528" t="s">
        <v>316</v>
      </c>
      <c r="N37" s="528" t="s">
        <v>337</v>
      </c>
      <c r="O37" s="529" t="s">
        <v>338</v>
      </c>
      <c r="P37" s="527" t="s">
        <v>336</v>
      </c>
      <c r="Q37" s="528" t="s">
        <v>316</v>
      </c>
      <c r="R37" s="528" t="s">
        <v>337</v>
      </c>
      <c r="S37" s="529" t="s">
        <v>338</v>
      </c>
    </row>
    <row r="38" spans="2:19" ht="30" hidden="1" customHeight="1" outlineLevel="1" x14ac:dyDescent="0.35">
      <c r="B38" s="886"/>
      <c r="C38" s="901"/>
      <c r="D38" s="537"/>
      <c r="E38" s="531"/>
      <c r="F38" s="531"/>
      <c r="G38" s="538"/>
      <c r="H38" s="505"/>
      <c r="I38" s="535"/>
      <c r="J38" s="505"/>
      <c r="K38" s="536"/>
      <c r="L38" s="505"/>
      <c r="M38" s="535"/>
      <c r="N38" s="505"/>
      <c r="O38" s="536"/>
      <c r="P38" s="505"/>
      <c r="Q38" s="535"/>
      <c r="R38" s="505"/>
      <c r="S38" s="536"/>
    </row>
    <row r="39" spans="2:19" ht="30" customHeight="1" collapsed="1" x14ac:dyDescent="0.35">
      <c r="B39" s="885" t="s">
        <v>339</v>
      </c>
      <c r="C39" s="885" t="s">
        <v>1005</v>
      </c>
      <c r="D39" s="528" t="s">
        <v>340</v>
      </c>
      <c r="E39" s="528" t="s">
        <v>341</v>
      </c>
      <c r="F39" s="499" t="s">
        <v>342</v>
      </c>
      <c r="G39" s="538" t="s">
        <v>413</v>
      </c>
      <c r="H39" s="528" t="s">
        <v>340</v>
      </c>
      <c r="I39" s="528" t="s">
        <v>341</v>
      </c>
      <c r="J39" s="499" t="s">
        <v>342</v>
      </c>
      <c r="K39" s="536" t="s">
        <v>413</v>
      </c>
      <c r="L39" s="528" t="s">
        <v>340</v>
      </c>
      <c r="M39" s="528" t="s">
        <v>341</v>
      </c>
      <c r="N39" s="499" t="s">
        <v>342</v>
      </c>
      <c r="O39" s="539"/>
      <c r="P39" s="528" t="s">
        <v>340</v>
      </c>
      <c r="Q39" s="528" t="s">
        <v>341</v>
      </c>
      <c r="R39" s="499" t="s">
        <v>342</v>
      </c>
      <c r="S39" s="539"/>
    </row>
    <row r="40" spans="2:19" ht="30" customHeight="1" x14ac:dyDescent="0.35">
      <c r="B40" s="896"/>
      <c r="C40" s="896"/>
      <c r="D40" s="912">
        <v>0</v>
      </c>
      <c r="E40" s="912" t="s">
        <v>533</v>
      </c>
      <c r="F40" s="499" t="s">
        <v>343</v>
      </c>
      <c r="G40" s="540" t="s">
        <v>483</v>
      </c>
      <c r="H40" s="954">
        <v>288</v>
      </c>
      <c r="I40" s="920" t="s">
        <v>533</v>
      </c>
      <c r="J40" s="499" t="s">
        <v>343</v>
      </c>
      <c r="K40" s="541" t="s">
        <v>483</v>
      </c>
      <c r="L40" s="870"/>
      <c r="M40" s="870"/>
      <c r="N40" s="499" t="s">
        <v>343</v>
      </c>
      <c r="O40" s="542"/>
      <c r="P40" s="870"/>
      <c r="Q40" s="870"/>
      <c r="R40" s="499" t="s">
        <v>343</v>
      </c>
      <c r="S40" s="542"/>
    </row>
    <row r="41" spans="2:19" ht="30" customHeight="1" x14ac:dyDescent="0.35">
      <c r="B41" s="896"/>
      <c r="C41" s="896"/>
      <c r="D41" s="913"/>
      <c r="E41" s="913"/>
      <c r="F41" s="499" t="s">
        <v>344</v>
      </c>
      <c r="G41" s="538">
        <v>0</v>
      </c>
      <c r="H41" s="955"/>
      <c r="I41" s="921"/>
      <c r="J41" s="499" t="s">
        <v>344</v>
      </c>
      <c r="K41" s="536">
        <v>0</v>
      </c>
      <c r="L41" s="871"/>
      <c r="M41" s="871"/>
      <c r="N41" s="499" t="s">
        <v>344</v>
      </c>
      <c r="O41" s="536"/>
      <c r="P41" s="871"/>
      <c r="Q41" s="871"/>
      <c r="R41" s="499" t="s">
        <v>344</v>
      </c>
      <c r="S41" s="536"/>
    </row>
    <row r="42" spans="2:19" ht="30" customHeight="1" outlineLevel="1" x14ac:dyDescent="0.35">
      <c r="B42" s="896"/>
      <c r="C42" s="896"/>
      <c r="D42" s="528" t="s">
        <v>340</v>
      </c>
      <c r="E42" s="528" t="s">
        <v>341</v>
      </c>
      <c r="F42" s="499" t="s">
        <v>342</v>
      </c>
      <c r="G42" s="543"/>
      <c r="H42" s="528" t="s">
        <v>340</v>
      </c>
      <c r="I42" s="528" t="s">
        <v>341</v>
      </c>
      <c r="J42" s="499" t="s">
        <v>342</v>
      </c>
      <c r="K42" s="536" t="s">
        <v>413</v>
      </c>
      <c r="L42" s="528" t="s">
        <v>340</v>
      </c>
      <c r="M42" s="528" t="s">
        <v>341</v>
      </c>
      <c r="N42" s="499" t="s">
        <v>342</v>
      </c>
      <c r="O42" s="539"/>
      <c r="P42" s="528" t="s">
        <v>340</v>
      </c>
      <c r="Q42" s="528" t="s">
        <v>341</v>
      </c>
      <c r="R42" s="499" t="s">
        <v>342</v>
      </c>
      <c r="S42" s="539"/>
    </row>
    <row r="43" spans="2:19" ht="30" customHeight="1" outlineLevel="1" x14ac:dyDescent="0.35">
      <c r="B43" s="896"/>
      <c r="C43" s="896"/>
      <c r="D43" s="912">
        <v>0</v>
      </c>
      <c r="E43" s="912" t="s">
        <v>536</v>
      </c>
      <c r="F43" s="499" t="s">
        <v>343</v>
      </c>
      <c r="G43" s="544"/>
      <c r="H43" s="954">
        <v>288</v>
      </c>
      <c r="I43" s="920" t="s">
        <v>536</v>
      </c>
      <c r="J43" s="499" t="s">
        <v>343</v>
      </c>
      <c r="K43" s="541" t="s">
        <v>483</v>
      </c>
      <c r="L43" s="870"/>
      <c r="M43" s="870"/>
      <c r="N43" s="499" t="s">
        <v>343</v>
      </c>
      <c r="O43" s="542"/>
      <c r="P43" s="870"/>
      <c r="Q43" s="870"/>
      <c r="R43" s="499" t="s">
        <v>343</v>
      </c>
      <c r="S43" s="542"/>
    </row>
    <row r="44" spans="2:19" ht="30" customHeight="1" outlineLevel="1" x14ac:dyDescent="0.35">
      <c r="B44" s="896"/>
      <c r="C44" s="896"/>
      <c r="D44" s="913"/>
      <c r="E44" s="913"/>
      <c r="F44" s="499" t="s">
        <v>344</v>
      </c>
      <c r="G44" s="538"/>
      <c r="H44" s="955"/>
      <c r="I44" s="921"/>
      <c r="J44" s="499" t="s">
        <v>344</v>
      </c>
      <c r="K44" s="536">
        <v>0</v>
      </c>
      <c r="L44" s="871"/>
      <c r="M44" s="871"/>
      <c r="N44" s="499" t="s">
        <v>344</v>
      </c>
      <c r="O44" s="536"/>
      <c r="P44" s="871"/>
      <c r="Q44" s="871"/>
      <c r="R44" s="499" t="s">
        <v>344</v>
      </c>
      <c r="S44" s="536"/>
    </row>
    <row r="45" spans="2:19" ht="30" customHeight="1" outlineLevel="1" x14ac:dyDescent="0.35">
      <c r="B45" s="896"/>
      <c r="C45" s="896"/>
      <c r="D45" s="528" t="s">
        <v>340</v>
      </c>
      <c r="E45" s="528" t="s">
        <v>341</v>
      </c>
      <c r="F45" s="499" t="s">
        <v>342</v>
      </c>
      <c r="G45" s="543"/>
      <c r="H45" s="528" t="s">
        <v>340</v>
      </c>
      <c r="I45" s="528" t="s">
        <v>341</v>
      </c>
      <c r="J45" s="499" t="s">
        <v>342</v>
      </c>
      <c r="K45" s="536" t="s">
        <v>413</v>
      </c>
      <c r="L45" s="528" t="s">
        <v>340</v>
      </c>
      <c r="M45" s="528" t="s">
        <v>341</v>
      </c>
      <c r="N45" s="499" t="s">
        <v>342</v>
      </c>
      <c r="O45" s="539"/>
      <c r="P45" s="528" t="s">
        <v>340</v>
      </c>
      <c r="Q45" s="528" t="s">
        <v>341</v>
      </c>
      <c r="R45" s="499" t="s">
        <v>342</v>
      </c>
      <c r="S45" s="539"/>
    </row>
    <row r="46" spans="2:19" ht="30" customHeight="1" outlineLevel="1" x14ac:dyDescent="0.35">
      <c r="B46" s="896"/>
      <c r="C46" s="896"/>
      <c r="D46" s="912">
        <v>0</v>
      </c>
      <c r="E46" s="912" t="s">
        <v>539</v>
      </c>
      <c r="F46" s="499" t="s">
        <v>343</v>
      </c>
      <c r="G46" s="544"/>
      <c r="H46" s="954">
        <v>288</v>
      </c>
      <c r="I46" s="870" t="s">
        <v>539</v>
      </c>
      <c r="J46" s="499" t="s">
        <v>343</v>
      </c>
      <c r="K46" s="541" t="s">
        <v>483</v>
      </c>
      <c r="L46" s="870"/>
      <c r="M46" s="870"/>
      <c r="N46" s="499" t="s">
        <v>343</v>
      </c>
      <c r="O46" s="542"/>
      <c r="P46" s="870"/>
      <c r="Q46" s="870"/>
      <c r="R46" s="499" t="s">
        <v>343</v>
      </c>
      <c r="S46" s="542"/>
    </row>
    <row r="47" spans="2:19" ht="30" customHeight="1" outlineLevel="1" x14ac:dyDescent="0.35">
      <c r="B47" s="896"/>
      <c r="C47" s="896"/>
      <c r="D47" s="913"/>
      <c r="E47" s="913"/>
      <c r="F47" s="499" t="s">
        <v>344</v>
      </c>
      <c r="G47" s="538"/>
      <c r="H47" s="955"/>
      <c r="I47" s="871"/>
      <c r="J47" s="499" t="s">
        <v>344</v>
      </c>
      <c r="K47" s="536">
        <v>0</v>
      </c>
      <c r="L47" s="871"/>
      <c r="M47" s="871"/>
      <c r="N47" s="499" t="s">
        <v>344</v>
      </c>
      <c r="O47" s="536"/>
      <c r="P47" s="871"/>
      <c r="Q47" s="871"/>
      <c r="R47" s="499" t="s">
        <v>344</v>
      </c>
      <c r="S47" s="536"/>
    </row>
    <row r="48" spans="2:19" ht="30" customHeight="1" outlineLevel="1" x14ac:dyDescent="0.35">
      <c r="B48" s="896"/>
      <c r="C48" s="896"/>
      <c r="D48" s="528" t="s">
        <v>340</v>
      </c>
      <c r="E48" s="528" t="s">
        <v>341</v>
      </c>
      <c r="F48" s="499" t="s">
        <v>342</v>
      </c>
      <c r="G48" s="543"/>
      <c r="H48" s="528" t="s">
        <v>340</v>
      </c>
      <c r="I48" s="528" t="s">
        <v>341</v>
      </c>
      <c r="J48" s="499" t="s">
        <v>342</v>
      </c>
      <c r="K48" s="536" t="s">
        <v>413</v>
      </c>
      <c r="L48" s="528" t="s">
        <v>340</v>
      </c>
      <c r="M48" s="528" t="s">
        <v>341</v>
      </c>
      <c r="N48" s="499" t="s">
        <v>342</v>
      </c>
      <c r="O48" s="539"/>
      <c r="P48" s="528" t="s">
        <v>340</v>
      </c>
      <c r="Q48" s="528" t="s">
        <v>341</v>
      </c>
      <c r="R48" s="499" t="s">
        <v>342</v>
      </c>
      <c r="S48" s="539"/>
    </row>
    <row r="49" spans="2:19" ht="30" customHeight="1" outlineLevel="1" x14ac:dyDescent="0.35">
      <c r="B49" s="896"/>
      <c r="C49" s="896"/>
      <c r="D49" s="912">
        <v>0</v>
      </c>
      <c r="E49" s="912" t="s">
        <v>542</v>
      </c>
      <c r="F49" s="499" t="s">
        <v>343</v>
      </c>
      <c r="G49" s="544"/>
      <c r="H49" s="954">
        <v>288</v>
      </c>
      <c r="I49" s="870" t="s">
        <v>542</v>
      </c>
      <c r="J49" s="499" t="s">
        <v>343</v>
      </c>
      <c r="K49" s="541" t="s">
        <v>483</v>
      </c>
      <c r="L49" s="870"/>
      <c r="M49" s="870"/>
      <c r="N49" s="499" t="s">
        <v>343</v>
      </c>
      <c r="O49" s="542"/>
      <c r="P49" s="870"/>
      <c r="Q49" s="870"/>
      <c r="R49" s="499" t="s">
        <v>343</v>
      </c>
      <c r="S49" s="542"/>
    </row>
    <row r="50" spans="2:19" ht="30" customHeight="1" outlineLevel="1" x14ac:dyDescent="0.35">
      <c r="B50" s="886"/>
      <c r="C50" s="886"/>
      <c r="D50" s="913"/>
      <c r="E50" s="913"/>
      <c r="F50" s="499" t="s">
        <v>344</v>
      </c>
      <c r="G50" s="538"/>
      <c r="H50" s="955"/>
      <c r="I50" s="871"/>
      <c r="J50" s="499" t="s">
        <v>344</v>
      </c>
      <c r="K50" s="536">
        <v>0</v>
      </c>
      <c r="L50" s="871"/>
      <c r="M50" s="871"/>
      <c r="N50" s="499" t="s">
        <v>344</v>
      </c>
      <c r="O50" s="536"/>
      <c r="P50" s="871"/>
      <c r="Q50" s="871"/>
      <c r="R50" s="499" t="s">
        <v>344</v>
      </c>
      <c r="S50" s="536"/>
    </row>
    <row r="51" spans="2:19" ht="30" customHeight="1" thickBot="1" x14ac:dyDescent="0.4">
      <c r="C51" s="545"/>
      <c r="D51" s="546"/>
    </row>
    <row r="52" spans="2:19" ht="30" customHeight="1" thickBot="1" x14ac:dyDescent="0.4">
      <c r="D52" s="904" t="s">
        <v>317</v>
      </c>
      <c r="E52" s="905"/>
      <c r="F52" s="905"/>
      <c r="G52" s="906"/>
      <c r="H52" s="904" t="s">
        <v>318</v>
      </c>
      <c r="I52" s="905"/>
      <c r="J52" s="905"/>
      <c r="K52" s="906"/>
      <c r="L52" s="904" t="s">
        <v>319</v>
      </c>
      <c r="M52" s="905"/>
      <c r="N52" s="905"/>
      <c r="O52" s="906"/>
      <c r="P52" s="904" t="s">
        <v>320</v>
      </c>
      <c r="Q52" s="905"/>
      <c r="R52" s="905"/>
      <c r="S52" s="906"/>
    </row>
    <row r="53" spans="2:19" ht="30" customHeight="1" x14ac:dyDescent="0.35">
      <c r="B53" s="897" t="s">
        <v>345</v>
      </c>
      <c r="C53" s="897" t="s">
        <v>346</v>
      </c>
      <c r="D53" s="857" t="s">
        <v>347</v>
      </c>
      <c r="E53" s="923"/>
      <c r="F53" s="547" t="s">
        <v>316</v>
      </c>
      <c r="G53" s="548" t="s">
        <v>348</v>
      </c>
      <c r="H53" s="857" t="s">
        <v>347</v>
      </c>
      <c r="I53" s="923"/>
      <c r="J53" s="547" t="s">
        <v>316</v>
      </c>
      <c r="K53" s="548" t="s">
        <v>348</v>
      </c>
      <c r="L53" s="857" t="s">
        <v>347</v>
      </c>
      <c r="M53" s="923"/>
      <c r="N53" s="547" t="s">
        <v>316</v>
      </c>
      <c r="O53" s="548" t="s">
        <v>348</v>
      </c>
      <c r="P53" s="857" t="s">
        <v>347</v>
      </c>
      <c r="Q53" s="923"/>
      <c r="R53" s="547" t="s">
        <v>316</v>
      </c>
      <c r="S53" s="548" t="s">
        <v>348</v>
      </c>
    </row>
    <row r="54" spans="2:19" ht="45" customHeight="1" x14ac:dyDescent="0.35">
      <c r="B54" s="930"/>
      <c r="C54" s="930"/>
      <c r="D54" s="520" t="s">
        <v>325</v>
      </c>
      <c r="E54" s="521">
        <v>20</v>
      </c>
      <c r="F54" s="950" t="s">
        <v>433</v>
      </c>
      <c r="G54" s="952" t="s">
        <v>499</v>
      </c>
      <c r="H54" s="520" t="s">
        <v>325</v>
      </c>
      <c r="I54" s="522">
        <v>20</v>
      </c>
      <c r="J54" s="946" t="s">
        <v>433</v>
      </c>
      <c r="K54" s="948" t="s">
        <v>491</v>
      </c>
      <c r="L54" s="520" t="s">
        <v>325</v>
      </c>
      <c r="M54" s="523"/>
      <c r="N54" s="946"/>
      <c r="O54" s="948"/>
      <c r="P54" s="520" t="s">
        <v>325</v>
      </c>
      <c r="Q54" s="523"/>
      <c r="R54" s="946"/>
      <c r="S54" s="948"/>
    </row>
    <row r="55" spans="2:19" ht="45" customHeight="1" x14ac:dyDescent="0.35">
      <c r="B55" s="898"/>
      <c r="C55" s="898"/>
      <c r="D55" s="524" t="s">
        <v>333</v>
      </c>
      <c r="E55" s="525">
        <v>0.2</v>
      </c>
      <c r="F55" s="951"/>
      <c r="G55" s="953"/>
      <c r="H55" s="524" t="s">
        <v>333</v>
      </c>
      <c r="I55" s="526">
        <v>0.2</v>
      </c>
      <c r="J55" s="947"/>
      <c r="K55" s="949"/>
      <c r="L55" s="524" t="s">
        <v>333</v>
      </c>
      <c r="M55" s="526"/>
      <c r="N55" s="947"/>
      <c r="O55" s="949"/>
      <c r="P55" s="524" t="s">
        <v>333</v>
      </c>
      <c r="Q55" s="526"/>
      <c r="R55" s="947"/>
      <c r="S55" s="949"/>
    </row>
    <row r="56" spans="2:19" ht="30" customHeight="1" x14ac:dyDescent="0.35">
      <c r="B56" s="885" t="s">
        <v>349</v>
      </c>
      <c r="C56" s="885" t="s">
        <v>350</v>
      </c>
      <c r="D56" s="528" t="s">
        <v>351</v>
      </c>
      <c r="E56" s="549" t="s">
        <v>352</v>
      </c>
      <c r="F56" s="861" t="s">
        <v>353</v>
      </c>
      <c r="G56" s="929"/>
      <c r="H56" s="528" t="s">
        <v>351</v>
      </c>
      <c r="I56" s="549" t="s">
        <v>352</v>
      </c>
      <c r="J56" s="861" t="s">
        <v>353</v>
      </c>
      <c r="K56" s="929"/>
      <c r="L56" s="528" t="s">
        <v>351</v>
      </c>
      <c r="M56" s="549" t="s">
        <v>352</v>
      </c>
      <c r="N56" s="861" t="s">
        <v>353</v>
      </c>
      <c r="O56" s="929"/>
      <c r="P56" s="528" t="s">
        <v>351</v>
      </c>
      <c r="Q56" s="549" t="s">
        <v>352</v>
      </c>
      <c r="R56" s="861" t="s">
        <v>353</v>
      </c>
      <c r="S56" s="929"/>
    </row>
    <row r="57" spans="2:19" ht="30" customHeight="1" x14ac:dyDescent="0.35">
      <c r="B57" s="896"/>
      <c r="C57" s="886"/>
      <c r="D57" s="531">
        <v>20</v>
      </c>
      <c r="E57" s="550">
        <v>0.2</v>
      </c>
      <c r="F57" s="910" t="s">
        <v>466</v>
      </c>
      <c r="G57" s="911"/>
      <c r="H57" s="505">
        <v>20</v>
      </c>
      <c r="I57" s="551">
        <v>0.2</v>
      </c>
      <c r="J57" s="927" t="s">
        <v>466</v>
      </c>
      <c r="K57" s="928"/>
      <c r="L57" s="505"/>
      <c r="M57" s="552"/>
      <c r="N57" s="927"/>
      <c r="O57" s="928"/>
      <c r="P57" s="505"/>
      <c r="Q57" s="552"/>
      <c r="R57" s="927"/>
      <c r="S57" s="928"/>
    </row>
    <row r="58" spans="2:19" ht="30" customHeight="1" x14ac:dyDescent="0.35">
      <c r="B58" s="896"/>
      <c r="C58" s="885" t="s">
        <v>354</v>
      </c>
      <c r="D58" s="553" t="s">
        <v>353</v>
      </c>
      <c r="E58" s="554" t="s">
        <v>337</v>
      </c>
      <c r="F58" s="528" t="s">
        <v>316</v>
      </c>
      <c r="G58" s="555" t="s">
        <v>348</v>
      </c>
      <c r="H58" s="553" t="s">
        <v>353</v>
      </c>
      <c r="I58" s="554" t="s">
        <v>337</v>
      </c>
      <c r="J58" s="528" t="s">
        <v>316</v>
      </c>
      <c r="K58" s="555" t="s">
        <v>348</v>
      </c>
      <c r="L58" s="553" t="s">
        <v>353</v>
      </c>
      <c r="M58" s="554" t="s">
        <v>337</v>
      </c>
      <c r="N58" s="528" t="s">
        <v>316</v>
      </c>
      <c r="O58" s="555" t="s">
        <v>348</v>
      </c>
      <c r="P58" s="553" t="s">
        <v>353</v>
      </c>
      <c r="Q58" s="554" t="s">
        <v>337</v>
      </c>
      <c r="R58" s="528" t="s">
        <v>316</v>
      </c>
      <c r="S58" s="555" t="s">
        <v>348</v>
      </c>
    </row>
    <row r="59" spans="2:19" ht="30" customHeight="1" x14ac:dyDescent="0.35">
      <c r="B59" s="886"/>
      <c r="C59" s="945"/>
      <c r="D59" s="556" t="s">
        <v>461</v>
      </c>
      <c r="E59" s="557" t="s">
        <v>483</v>
      </c>
      <c r="F59" s="531" t="s">
        <v>433</v>
      </c>
      <c r="G59" s="558" t="s">
        <v>507</v>
      </c>
      <c r="H59" s="559" t="s">
        <v>461</v>
      </c>
      <c r="I59" s="560" t="s">
        <v>483</v>
      </c>
      <c r="J59" s="505" t="s">
        <v>433</v>
      </c>
      <c r="K59" s="561" t="s">
        <v>491</v>
      </c>
      <c r="L59" s="559"/>
      <c r="M59" s="560"/>
      <c r="N59" s="505"/>
      <c r="O59" s="561"/>
      <c r="P59" s="559"/>
      <c r="Q59" s="560"/>
      <c r="R59" s="505"/>
      <c r="S59" s="561"/>
    </row>
    <row r="60" spans="2:19" ht="30" customHeight="1" thickBot="1" x14ac:dyDescent="0.4">
      <c r="B60" s="516"/>
      <c r="C60" s="562"/>
      <c r="D60" s="546"/>
    </row>
    <row r="61" spans="2:19" ht="30" customHeight="1" thickBot="1" x14ac:dyDescent="0.4">
      <c r="B61" s="516"/>
      <c r="C61" s="516"/>
      <c r="D61" s="904" t="s">
        <v>317</v>
      </c>
      <c r="E61" s="905"/>
      <c r="F61" s="905"/>
      <c r="G61" s="905"/>
      <c r="H61" s="904" t="s">
        <v>318</v>
      </c>
      <c r="I61" s="905"/>
      <c r="J61" s="905"/>
      <c r="K61" s="906"/>
      <c r="L61" s="905" t="s">
        <v>319</v>
      </c>
      <c r="M61" s="905"/>
      <c r="N61" s="905"/>
      <c r="O61" s="905"/>
      <c r="P61" s="904" t="s">
        <v>320</v>
      </c>
      <c r="Q61" s="905"/>
      <c r="R61" s="905"/>
      <c r="S61" s="906"/>
    </row>
    <row r="62" spans="2:19" ht="30" customHeight="1" x14ac:dyDescent="0.35">
      <c r="B62" s="897" t="s">
        <v>1012</v>
      </c>
      <c r="C62" s="897" t="s">
        <v>355</v>
      </c>
      <c r="D62" s="942" t="s">
        <v>356</v>
      </c>
      <c r="E62" s="943"/>
      <c r="F62" s="857" t="s">
        <v>316</v>
      </c>
      <c r="G62" s="889"/>
      <c r="H62" s="944" t="s">
        <v>356</v>
      </c>
      <c r="I62" s="943"/>
      <c r="J62" s="857" t="s">
        <v>316</v>
      </c>
      <c r="K62" s="858"/>
      <c r="L62" s="944" t="s">
        <v>356</v>
      </c>
      <c r="M62" s="943"/>
      <c r="N62" s="857" t="s">
        <v>316</v>
      </c>
      <c r="O62" s="858"/>
      <c r="P62" s="944" t="s">
        <v>356</v>
      </c>
      <c r="Q62" s="943"/>
      <c r="R62" s="857" t="s">
        <v>316</v>
      </c>
      <c r="S62" s="858"/>
    </row>
    <row r="63" spans="2:19" ht="36.75" customHeight="1" x14ac:dyDescent="0.35">
      <c r="B63" s="898"/>
      <c r="C63" s="898"/>
      <c r="D63" s="939">
        <v>0.05</v>
      </c>
      <c r="E63" s="940"/>
      <c r="F63" s="910" t="s">
        <v>433</v>
      </c>
      <c r="G63" s="941"/>
      <c r="H63" s="935">
        <v>80</v>
      </c>
      <c r="I63" s="936"/>
      <c r="J63" s="927" t="s">
        <v>433</v>
      </c>
      <c r="K63" s="928"/>
      <c r="L63" s="935"/>
      <c r="M63" s="936"/>
      <c r="N63" s="927"/>
      <c r="O63" s="928"/>
      <c r="P63" s="935"/>
      <c r="Q63" s="936"/>
      <c r="R63" s="927"/>
      <c r="S63" s="928"/>
    </row>
    <row r="64" spans="2:19" ht="45" customHeight="1" x14ac:dyDescent="0.35">
      <c r="B64" s="885" t="s">
        <v>357</v>
      </c>
      <c r="C64" s="885" t="s">
        <v>655</v>
      </c>
      <c r="D64" s="528" t="s">
        <v>358</v>
      </c>
      <c r="E64" s="528" t="s">
        <v>359</v>
      </c>
      <c r="F64" s="861" t="s">
        <v>360</v>
      </c>
      <c r="G64" s="929"/>
      <c r="H64" s="563" t="s">
        <v>358</v>
      </c>
      <c r="I64" s="528" t="s">
        <v>359</v>
      </c>
      <c r="J64" s="937" t="s">
        <v>360</v>
      </c>
      <c r="K64" s="929"/>
      <c r="L64" s="563" t="s">
        <v>358</v>
      </c>
      <c r="M64" s="528" t="s">
        <v>359</v>
      </c>
      <c r="N64" s="937" t="s">
        <v>360</v>
      </c>
      <c r="O64" s="929"/>
      <c r="P64" s="563" t="s">
        <v>358</v>
      </c>
      <c r="Q64" s="528" t="s">
        <v>359</v>
      </c>
      <c r="R64" s="937" t="s">
        <v>360</v>
      </c>
      <c r="S64" s="929"/>
    </row>
    <row r="65" spans="2:19" ht="27" customHeight="1" x14ac:dyDescent="0.35">
      <c r="B65" s="886"/>
      <c r="C65" s="886"/>
      <c r="D65" s="531">
        <v>1100</v>
      </c>
      <c r="E65" s="550">
        <v>0.5</v>
      </c>
      <c r="F65" s="938" t="s">
        <v>514</v>
      </c>
      <c r="G65" s="938"/>
      <c r="H65" s="505">
        <v>19096</v>
      </c>
      <c r="I65" s="552">
        <v>0.49359999999999998</v>
      </c>
      <c r="J65" s="933" t="s">
        <v>492</v>
      </c>
      <c r="K65" s="934"/>
      <c r="L65" s="505"/>
      <c r="M65" s="552"/>
      <c r="N65" s="933"/>
      <c r="O65" s="934"/>
      <c r="P65" s="505"/>
      <c r="Q65" s="552"/>
      <c r="R65" s="933"/>
      <c r="S65" s="934"/>
    </row>
    <row r="66" spans="2:19" ht="33.75" customHeight="1" thickBot="1" x14ac:dyDescent="0.4">
      <c r="B66" s="516"/>
      <c r="C66" s="516"/>
    </row>
    <row r="67" spans="2:19" ht="37.5" customHeight="1" thickBot="1" x14ac:dyDescent="0.4">
      <c r="B67" s="516"/>
      <c r="C67" s="516"/>
      <c r="D67" s="904" t="s">
        <v>317</v>
      </c>
      <c r="E67" s="905"/>
      <c r="F67" s="905"/>
      <c r="G67" s="906"/>
      <c r="H67" s="905" t="s">
        <v>318</v>
      </c>
      <c r="I67" s="905"/>
      <c r="J67" s="905"/>
      <c r="K67" s="906"/>
      <c r="L67" s="905" t="s">
        <v>319</v>
      </c>
      <c r="M67" s="905"/>
      <c r="N67" s="905"/>
      <c r="O67" s="905"/>
      <c r="P67" s="905" t="s">
        <v>318</v>
      </c>
      <c r="Q67" s="905"/>
      <c r="R67" s="905"/>
      <c r="S67" s="906"/>
    </row>
    <row r="68" spans="2:19" ht="37.5" customHeight="1" x14ac:dyDescent="0.35">
      <c r="B68" s="897" t="s">
        <v>361</v>
      </c>
      <c r="C68" s="897" t="s">
        <v>362</v>
      </c>
      <c r="D68" s="564" t="s">
        <v>363</v>
      </c>
      <c r="E68" s="547" t="s">
        <v>364</v>
      </c>
      <c r="F68" s="857" t="s">
        <v>365</v>
      </c>
      <c r="G68" s="858"/>
      <c r="H68" s="564" t="s">
        <v>363</v>
      </c>
      <c r="I68" s="547" t="s">
        <v>364</v>
      </c>
      <c r="J68" s="857" t="s">
        <v>365</v>
      </c>
      <c r="K68" s="858"/>
      <c r="L68" s="564" t="s">
        <v>363</v>
      </c>
      <c r="M68" s="547" t="s">
        <v>364</v>
      </c>
      <c r="N68" s="857" t="s">
        <v>365</v>
      </c>
      <c r="O68" s="858"/>
      <c r="P68" s="564" t="s">
        <v>363</v>
      </c>
      <c r="Q68" s="547" t="s">
        <v>364</v>
      </c>
      <c r="R68" s="857" t="s">
        <v>365</v>
      </c>
      <c r="S68" s="858"/>
    </row>
    <row r="69" spans="2:19" ht="44.25" customHeight="1" x14ac:dyDescent="0.35">
      <c r="B69" s="930"/>
      <c r="C69" s="898"/>
      <c r="D69" s="565" t="s">
        <v>433</v>
      </c>
      <c r="E69" s="530" t="s">
        <v>483</v>
      </c>
      <c r="F69" s="931" t="s">
        <v>515</v>
      </c>
      <c r="G69" s="932"/>
      <c r="H69" s="566" t="s">
        <v>433</v>
      </c>
      <c r="I69" s="567" t="s">
        <v>483</v>
      </c>
      <c r="J69" s="859" t="s">
        <v>501</v>
      </c>
      <c r="K69" s="860"/>
      <c r="L69" s="568"/>
      <c r="M69" s="535"/>
      <c r="N69" s="859"/>
      <c r="O69" s="860"/>
      <c r="P69" s="568"/>
      <c r="Q69" s="535"/>
      <c r="R69" s="859"/>
      <c r="S69" s="860"/>
    </row>
    <row r="70" spans="2:19" ht="36.75" customHeight="1" x14ac:dyDescent="0.35">
      <c r="B70" s="930"/>
      <c r="C70" s="897" t="s">
        <v>1006</v>
      </c>
      <c r="D70" s="528" t="s">
        <v>316</v>
      </c>
      <c r="E70" s="527" t="s">
        <v>366</v>
      </c>
      <c r="F70" s="861" t="s">
        <v>367</v>
      </c>
      <c r="G70" s="929"/>
      <c r="H70" s="528" t="s">
        <v>316</v>
      </c>
      <c r="I70" s="527" t="s">
        <v>366</v>
      </c>
      <c r="J70" s="861" t="s">
        <v>367</v>
      </c>
      <c r="K70" s="929"/>
      <c r="L70" s="528" t="s">
        <v>316</v>
      </c>
      <c r="M70" s="527" t="s">
        <v>366</v>
      </c>
      <c r="N70" s="861" t="s">
        <v>367</v>
      </c>
      <c r="O70" s="929"/>
      <c r="P70" s="528" t="s">
        <v>316</v>
      </c>
      <c r="Q70" s="527" t="s">
        <v>366</v>
      </c>
      <c r="R70" s="861" t="s">
        <v>367</v>
      </c>
      <c r="S70" s="929"/>
    </row>
    <row r="71" spans="2:19" ht="30" customHeight="1" x14ac:dyDescent="0.35">
      <c r="B71" s="930"/>
      <c r="C71" s="930"/>
      <c r="D71" s="531" t="s">
        <v>433</v>
      </c>
      <c r="E71" s="537" t="s">
        <v>782</v>
      </c>
      <c r="F71" s="910" t="s">
        <v>521</v>
      </c>
      <c r="G71" s="911"/>
      <c r="H71" s="505" t="s">
        <v>433</v>
      </c>
      <c r="I71" s="535" t="s">
        <v>782</v>
      </c>
      <c r="J71" s="927" t="s">
        <v>494</v>
      </c>
      <c r="K71" s="928"/>
      <c r="L71" s="505"/>
      <c r="M71" s="535"/>
      <c r="N71" s="927"/>
      <c r="O71" s="928"/>
      <c r="P71" s="505"/>
      <c r="Q71" s="535"/>
      <c r="R71" s="927"/>
      <c r="S71" s="928"/>
    </row>
    <row r="72" spans="2:19" ht="30" customHeight="1" outlineLevel="1" x14ac:dyDescent="0.35">
      <c r="B72" s="930"/>
      <c r="C72" s="930"/>
      <c r="D72" s="531" t="s">
        <v>472</v>
      </c>
      <c r="E72" s="537" t="s">
        <v>1013</v>
      </c>
      <c r="F72" s="910" t="s">
        <v>516</v>
      </c>
      <c r="G72" s="911"/>
      <c r="H72" s="505" t="s">
        <v>472</v>
      </c>
      <c r="I72" s="535" t="s">
        <v>1013</v>
      </c>
      <c r="J72" s="927" t="s">
        <v>494</v>
      </c>
      <c r="K72" s="928"/>
      <c r="L72" s="505"/>
      <c r="M72" s="535"/>
      <c r="N72" s="927"/>
      <c r="O72" s="928"/>
      <c r="P72" s="505"/>
      <c r="Q72" s="535"/>
      <c r="R72" s="927"/>
      <c r="S72" s="928"/>
    </row>
    <row r="73" spans="2:19" ht="30" customHeight="1" outlineLevel="1" x14ac:dyDescent="0.35">
      <c r="B73" s="930"/>
      <c r="C73" s="930"/>
      <c r="D73" s="531" t="s">
        <v>468</v>
      </c>
      <c r="E73" s="537" t="s">
        <v>1013</v>
      </c>
      <c r="F73" s="910" t="s">
        <v>521</v>
      </c>
      <c r="G73" s="911"/>
      <c r="H73" s="505" t="s">
        <v>468</v>
      </c>
      <c r="I73" s="535" t="s">
        <v>1013</v>
      </c>
      <c r="J73" s="927" t="s">
        <v>502</v>
      </c>
      <c r="K73" s="928"/>
      <c r="L73" s="505"/>
      <c r="M73" s="535"/>
      <c r="N73" s="927"/>
      <c r="O73" s="928"/>
      <c r="P73" s="505"/>
      <c r="Q73" s="535"/>
      <c r="R73" s="927"/>
      <c r="S73" s="928"/>
    </row>
    <row r="74" spans="2:19" ht="30" customHeight="1" outlineLevel="1" x14ac:dyDescent="0.35">
      <c r="B74" s="930"/>
      <c r="C74" s="930"/>
      <c r="D74" s="531" t="s">
        <v>485</v>
      </c>
      <c r="E74" s="537" t="s">
        <v>1013</v>
      </c>
      <c r="F74" s="910" t="s">
        <v>521</v>
      </c>
      <c r="G74" s="911"/>
      <c r="H74" s="505" t="s">
        <v>485</v>
      </c>
      <c r="I74" s="535" t="s">
        <v>1013</v>
      </c>
      <c r="J74" s="927" t="s">
        <v>502</v>
      </c>
      <c r="K74" s="928"/>
      <c r="L74" s="505"/>
      <c r="M74" s="535"/>
      <c r="N74" s="927"/>
      <c r="O74" s="928"/>
      <c r="P74" s="505"/>
      <c r="Q74" s="535"/>
      <c r="R74" s="927"/>
      <c r="S74" s="928"/>
    </row>
    <row r="75" spans="2:19" ht="30" customHeight="1" outlineLevel="1" x14ac:dyDescent="0.35">
      <c r="B75" s="930"/>
      <c r="C75" s="930"/>
      <c r="D75" s="531"/>
      <c r="E75" s="537"/>
      <c r="F75" s="910"/>
      <c r="G75" s="911"/>
      <c r="H75" s="505"/>
      <c r="I75" s="535"/>
      <c r="J75" s="927"/>
      <c r="K75" s="928"/>
      <c r="L75" s="505"/>
      <c r="M75" s="535"/>
      <c r="N75" s="927"/>
      <c r="O75" s="928"/>
      <c r="P75" s="505"/>
      <c r="Q75" s="535"/>
      <c r="R75" s="927"/>
      <c r="S75" s="928"/>
    </row>
    <row r="76" spans="2:19" ht="30" customHeight="1" outlineLevel="1" x14ac:dyDescent="0.35">
      <c r="B76" s="898"/>
      <c r="C76" s="898"/>
      <c r="D76" s="531"/>
      <c r="E76" s="537"/>
      <c r="F76" s="910"/>
      <c r="G76" s="911"/>
      <c r="H76" s="505"/>
      <c r="I76" s="535"/>
      <c r="J76" s="927"/>
      <c r="K76" s="928"/>
      <c r="L76" s="505"/>
      <c r="M76" s="535"/>
      <c r="N76" s="927"/>
      <c r="O76" s="928"/>
      <c r="P76" s="505"/>
      <c r="Q76" s="535"/>
      <c r="R76" s="927"/>
      <c r="S76" s="928"/>
    </row>
    <row r="77" spans="2:19" ht="35.25" customHeight="1" x14ac:dyDescent="0.35">
      <c r="B77" s="885" t="s">
        <v>368</v>
      </c>
      <c r="C77" s="926" t="s">
        <v>654</v>
      </c>
      <c r="D77" s="549" t="s">
        <v>369</v>
      </c>
      <c r="E77" s="861" t="s">
        <v>353</v>
      </c>
      <c r="F77" s="862"/>
      <c r="G77" s="529" t="s">
        <v>316</v>
      </c>
      <c r="H77" s="549" t="s">
        <v>369</v>
      </c>
      <c r="I77" s="861" t="s">
        <v>353</v>
      </c>
      <c r="J77" s="862"/>
      <c r="K77" s="529" t="s">
        <v>316</v>
      </c>
      <c r="L77" s="549" t="s">
        <v>369</v>
      </c>
      <c r="M77" s="861" t="s">
        <v>353</v>
      </c>
      <c r="N77" s="862"/>
      <c r="O77" s="529" t="s">
        <v>316</v>
      </c>
      <c r="P77" s="549" t="s">
        <v>369</v>
      </c>
      <c r="Q77" s="861" t="s">
        <v>353</v>
      </c>
      <c r="R77" s="862"/>
      <c r="S77" s="529" t="s">
        <v>316</v>
      </c>
    </row>
    <row r="78" spans="2:19" ht="35.25" customHeight="1" x14ac:dyDescent="0.35">
      <c r="B78" s="896"/>
      <c r="C78" s="926"/>
      <c r="D78" s="569">
        <v>1</v>
      </c>
      <c r="E78" s="887" t="s">
        <v>451</v>
      </c>
      <c r="F78" s="888"/>
      <c r="G78" s="538" t="s">
        <v>468</v>
      </c>
      <c r="H78" s="570">
        <v>1</v>
      </c>
      <c r="I78" s="865" t="s">
        <v>451</v>
      </c>
      <c r="J78" s="866"/>
      <c r="K78" s="536" t="s">
        <v>468</v>
      </c>
      <c r="L78" s="570"/>
      <c r="M78" s="865"/>
      <c r="N78" s="866"/>
      <c r="O78" s="536"/>
      <c r="P78" s="570"/>
      <c r="Q78" s="865"/>
      <c r="R78" s="866"/>
      <c r="S78" s="536"/>
    </row>
    <row r="79" spans="2:19" ht="35.25" customHeight="1" outlineLevel="1" x14ac:dyDescent="0.35">
      <c r="B79" s="896"/>
      <c r="C79" s="926"/>
      <c r="D79" s="569">
        <v>0</v>
      </c>
      <c r="E79" s="887" t="s">
        <v>451</v>
      </c>
      <c r="F79" s="888"/>
      <c r="G79" s="538" t="s">
        <v>472</v>
      </c>
      <c r="H79" s="570">
        <v>1</v>
      </c>
      <c r="I79" s="865" t="s">
        <v>451</v>
      </c>
      <c r="J79" s="866"/>
      <c r="K79" s="536" t="s">
        <v>472</v>
      </c>
      <c r="L79" s="570"/>
      <c r="M79" s="865"/>
      <c r="N79" s="866"/>
      <c r="O79" s="536"/>
      <c r="P79" s="570"/>
      <c r="Q79" s="865"/>
      <c r="R79" s="866"/>
      <c r="S79" s="536"/>
    </row>
    <row r="80" spans="2:19" ht="35.25" customHeight="1" outlineLevel="1" x14ac:dyDescent="0.35">
      <c r="B80" s="896"/>
      <c r="C80" s="926"/>
      <c r="D80" s="569">
        <v>0</v>
      </c>
      <c r="E80" s="887"/>
      <c r="F80" s="888"/>
      <c r="G80" s="538"/>
      <c r="H80" s="570"/>
      <c r="I80" s="865"/>
      <c r="J80" s="866"/>
      <c r="K80" s="536"/>
      <c r="L80" s="570"/>
      <c r="M80" s="865"/>
      <c r="N80" s="866"/>
      <c r="O80" s="536"/>
      <c r="P80" s="570"/>
      <c r="Q80" s="865"/>
      <c r="R80" s="866"/>
      <c r="S80" s="536"/>
    </row>
    <row r="81" spans="2:19" ht="35.25" customHeight="1" outlineLevel="1" x14ac:dyDescent="0.35">
      <c r="B81" s="896"/>
      <c r="C81" s="926"/>
      <c r="D81" s="569">
        <v>0</v>
      </c>
      <c r="E81" s="887"/>
      <c r="F81" s="888"/>
      <c r="G81" s="538"/>
      <c r="H81" s="570"/>
      <c r="I81" s="865"/>
      <c r="J81" s="866"/>
      <c r="K81" s="536"/>
      <c r="L81" s="570"/>
      <c r="M81" s="865"/>
      <c r="N81" s="866"/>
      <c r="O81" s="536"/>
      <c r="P81" s="570"/>
      <c r="Q81" s="865"/>
      <c r="R81" s="866"/>
      <c r="S81" s="536"/>
    </row>
    <row r="82" spans="2:19" ht="35.25" customHeight="1" outlineLevel="1" x14ac:dyDescent="0.35">
      <c r="B82" s="896"/>
      <c r="C82" s="926"/>
      <c r="D82" s="569">
        <v>0</v>
      </c>
      <c r="E82" s="887"/>
      <c r="F82" s="888"/>
      <c r="G82" s="538"/>
      <c r="H82" s="570"/>
      <c r="I82" s="865"/>
      <c r="J82" s="866"/>
      <c r="K82" s="536"/>
      <c r="L82" s="570"/>
      <c r="M82" s="865"/>
      <c r="N82" s="866"/>
      <c r="O82" s="536"/>
      <c r="P82" s="570"/>
      <c r="Q82" s="865"/>
      <c r="R82" s="866"/>
      <c r="S82" s="536"/>
    </row>
    <row r="83" spans="2:19" ht="33" customHeight="1" outlineLevel="1" x14ac:dyDescent="0.35">
      <c r="B83" s="886"/>
      <c r="C83" s="926"/>
      <c r="D83" s="569">
        <v>0</v>
      </c>
      <c r="E83" s="887"/>
      <c r="F83" s="888"/>
      <c r="G83" s="538"/>
      <c r="H83" s="570"/>
      <c r="I83" s="865"/>
      <c r="J83" s="866"/>
      <c r="K83" s="536"/>
      <c r="L83" s="570"/>
      <c r="M83" s="865"/>
      <c r="N83" s="866"/>
      <c r="O83" s="536"/>
      <c r="P83" s="570"/>
      <c r="Q83" s="865"/>
      <c r="R83" s="866"/>
      <c r="S83" s="536"/>
    </row>
    <row r="84" spans="2:19" ht="31.5" customHeight="1" thickBot="1" x14ac:dyDescent="0.4">
      <c r="B84" s="516"/>
      <c r="C84" s="571"/>
      <c r="D84" s="546"/>
    </row>
    <row r="85" spans="2:19" ht="30.75" customHeight="1" thickBot="1" x14ac:dyDescent="0.4">
      <c r="B85" s="516"/>
      <c r="C85" s="516"/>
      <c r="D85" s="904" t="s">
        <v>317</v>
      </c>
      <c r="E85" s="905"/>
      <c r="F85" s="905"/>
      <c r="G85" s="906"/>
      <c r="H85" s="867" t="s">
        <v>317</v>
      </c>
      <c r="I85" s="868"/>
      <c r="J85" s="868"/>
      <c r="K85" s="869"/>
      <c r="L85" s="905" t="s">
        <v>319</v>
      </c>
      <c r="M85" s="905"/>
      <c r="N85" s="905"/>
      <c r="O85" s="905"/>
      <c r="P85" s="905" t="s">
        <v>318</v>
      </c>
      <c r="Q85" s="905"/>
      <c r="R85" s="905"/>
      <c r="S85" s="906"/>
    </row>
    <row r="86" spans="2:19" ht="30.75" customHeight="1" x14ac:dyDescent="0.35">
      <c r="B86" s="897" t="s">
        <v>370</v>
      </c>
      <c r="C86" s="897" t="s">
        <v>371</v>
      </c>
      <c r="D86" s="857" t="s">
        <v>372</v>
      </c>
      <c r="E86" s="923"/>
      <c r="F86" s="547" t="s">
        <v>316</v>
      </c>
      <c r="G86" s="572" t="s">
        <v>353</v>
      </c>
      <c r="H86" s="924" t="s">
        <v>372</v>
      </c>
      <c r="I86" s="923"/>
      <c r="J86" s="547" t="s">
        <v>316</v>
      </c>
      <c r="K86" s="572" t="s">
        <v>353</v>
      </c>
      <c r="L86" s="924" t="s">
        <v>372</v>
      </c>
      <c r="M86" s="923"/>
      <c r="N86" s="547" t="s">
        <v>316</v>
      </c>
      <c r="O86" s="572" t="s">
        <v>353</v>
      </c>
      <c r="P86" s="924" t="s">
        <v>372</v>
      </c>
      <c r="Q86" s="923"/>
      <c r="R86" s="547" t="s">
        <v>316</v>
      </c>
      <c r="S86" s="572" t="s">
        <v>353</v>
      </c>
    </row>
    <row r="87" spans="2:19" ht="29.25" customHeight="1" x14ac:dyDescent="0.35">
      <c r="B87" s="898"/>
      <c r="C87" s="898"/>
      <c r="D87" s="910" t="s">
        <v>518</v>
      </c>
      <c r="E87" s="925"/>
      <c r="F87" s="573"/>
      <c r="G87" s="574"/>
      <c r="H87" s="575"/>
      <c r="I87" s="576"/>
      <c r="J87" s="568"/>
      <c r="K87" s="577"/>
      <c r="L87" s="575"/>
      <c r="M87" s="576"/>
      <c r="N87" s="568"/>
      <c r="O87" s="577"/>
      <c r="P87" s="575"/>
      <c r="Q87" s="576"/>
      <c r="R87" s="568"/>
      <c r="S87" s="577"/>
    </row>
    <row r="88" spans="2:19" ht="45" customHeight="1" x14ac:dyDescent="0.35">
      <c r="B88" s="922" t="s">
        <v>1014</v>
      </c>
      <c r="C88" s="885" t="s">
        <v>1007</v>
      </c>
      <c r="D88" s="528" t="s">
        <v>373</v>
      </c>
      <c r="E88" s="528" t="s">
        <v>374</v>
      </c>
      <c r="F88" s="549" t="s">
        <v>375</v>
      </c>
      <c r="G88" s="529" t="s">
        <v>376</v>
      </c>
      <c r="H88" s="528" t="s">
        <v>373</v>
      </c>
      <c r="I88" s="528" t="s">
        <v>374</v>
      </c>
      <c r="J88" s="549" t="s">
        <v>375</v>
      </c>
      <c r="K88" s="529" t="s">
        <v>376</v>
      </c>
      <c r="L88" s="528" t="s">
        <v>373</v>
      </c>
      <c r="M88" s="528" t="s">
        <v>374</v>
      </c>
      <c r="N88" s="549" t="s">
        <v>375</v>
      </c>
      <c r="O88" s="529" t="s">
        <v>376</v>
      </c>
      <c r="P88" s="528" t="s">
        <v>373</v>
      </c>
      <c r="Q88" s="528" t="s">
        <v>374</v>
      </c>
      <c r="R88" s="549" t="s">
        <v>375</v>
      </c>
      <c r="S88" s="529" t="s">
        <v>376</v>
      </c>
    </row>
    <row r="89" spans="2:19" ht="29.25" customHeight="1" x14ac:dyDescent="0.35">
      <c r="B89" s="922"/>
      <c r="C89" s="896"/>
      <c r="D89" s="912" t="s">
        <v>541</v>
      </c>
      <c r="E89" s="914">
        <v>50</v>
      </c>
      <c r="F89" s="912" t="s">
        <v>524</v>
      </c>
      <c r="G89" s="916" t="s">
        <v>518</v>
      </c>
      <c r="H89" s="870" t="s">
        <v>541</v>
      </c>
      <c r="I89" s="870">
        <v>250</v>
      </c>
      <c r="J89" s="870" t="s">
        <v>526</v>
      </c>
      <c r="K89" s="872" t="s">
        <v>496</v>
      </c>
      <c r="L89" s="870"/>
      <c r="M89" s="870"/>
      <c r="N89" s="870"/>
      <c r="O89" s="872"/>
      <c r="P89" s="870"/>
      <c r="Q89" s="870"/>
      <c r="R89" s="870"/>
      <c r="S89" s="872"/>
    </row>
    <row r="90" spans="2:19" ht="29.25" customHeight="1" x14ac:dyDescent="0.35">
      <c r="B90" s="922"/>
      <c r="C90" s="896"/>
      <c r="D90" s="913"/>
      <c r="E90" s="915"/>
      <c r="F90" s="913"/>
      <c r="G90" s="917"/>
      <c r="H90" s="871"/>
      <c r="I90" s="871"/>
      <c r="J90" s="871"/>
      <c r="K90" s="873"/>
      <c r="L90" s="871"/>
      <c r="M90" s="871"/>
      <c r="N90" s="871"/>
      <c r="O90" s="873"/>
      <c r="P90" s="871"/>
      <c r="Q90" s="871"/>
      <c r="R90" s="871"/>
      <c r="S90" s="873"/>
    </row>
    <row r="91" spans="2:19" ht="77.5" outlineLevel="1" x14ac:dyDescent="0.35">
      <c r="B91" s="922"/>
      <c r="C91" s="896"/>
      <c r="D91" s="528" t="s">
        <v>373</v>
      </c>
      <c r="E91" s="528" t="s">
        <v>374</v>
      </c>
      <c r="F91" s="549" t="s">
        <v>375</v>
      </c>
      <c r="G91" s="529" t="s">
        <v>376</v>
      </c>
      <c r="H91" s="528" t="s">
        <v>373</v>
      </c>
      <c r="I91" s="528" t="s">
        <v>374</v>
      </c>
      <c r="J91" s="549" t="s">
        <v>375</v>
      </c>
      <c r="K91" s="529" t="s">
        <v>376</v>
      </c>
      <c r="L91" s="528" t="s">
        <v>373</v>
      </c>
      <c r="M91" s="528" t="s">
        <v>374</v>
      </c>
      <c r="N91" s="549" t="s">
        <v>375</v>
      </c>
      <c r="O91" s="529" t="s">
        <v>376</v>
      </c>
      <c r="P91" s="528" t="s">
        <v>373</v>
      </c>
      <c r="Q91" s="528" t="s">
        <v>374</v>
      </c>
      <c r="R91" s="549" t="s">
        <v>375</v>
      </c>
      <c r="S91" s="529" t="s">
        <v>376</v>
      </c>
    </row>
    <row r="92" spans="2:19" ht="29.25" customHeight="1" outlineLevel="1" x14ac:dyDescent="0.35">
      <c r="B92" s="922"/>
      <c r="C92" s="896"/>
      <c r="D92" s="912" t="s">
        <v>285</v>
      </c>
      <c r="E92" s="914">
        <v>30</v>
      </c>
      <c r="F92" s="912" t="s">
        <v>526</v>
      </c>
      <c r="G92" s="916"/>
      <c r="H92" s="870" t="s">
        <v>285</v>
      </c>
      <c r="I92" s="870">
        <v>300</v>
      </c>
      <c r="J92" s="870" t="s">
        <v>526</v>
      </c>
      <c r="K92" s="872" t="s">
        <v>496</v>
      </c>
      <c r="L92" s="870"/>
      <c r="M92" s="870"/>
      <c r="N92" s="870"/>
      <c r="O92" s="872"/>
      <c r="P92" s="870"/>
      <c r="Q92" s="870"/>
      <c r="R92" s="870"/>
      <c r="S92" s="872"/>
    </row>
    <row r="93" spans="2:19" ht="29.25" customHeight="1" outlineLevel="1" x14ac:dyDescent="0.35">
      <c r="B93" s="922"/>
      <c r="C93" s="896"/>
      <c r="D93" s="913"/>
      <c r="E93" s="915"/>
      <c r="F93" s="913"/>
      <c r="G93" s="917"/>
      <c r="H93" s="871"/>
      <c r="I93" s="871"/>
      <c r="J93" s="871"/>
      <c r="K93" s="873"/>
      <c r="L93" s="871"/>
      <c r="M93" s="871"/>
      <c r="N93" s="871"/>
      <c r="O93" s="873"/>
      <c r="P93" s="871"/>
      <c r="Q93" s="871"/>
      <c r="R93" s="871"/>
      <c r="S93" s="873"/>
    </row>
    <row r="94" spans="2:19" ht="42.75" customHeight="1" outlineLevel="1" x14ac:dyDescent="0.35">
      <c r="B94" s="922"/>
      <c r="C94" s="896"/>
      <c r="D94" s="528" t="s">
        <v>373</v>
      </c>
      <c r="E94" s="528" t="s">
        <v>374</v>
      </c>
      <c r="F94" s="549" t="s">
        <v>375</v>
      </c>
      <c r="G94" s="529" t="s">
        <v>376</v>
      </c>
      <c r="H94" s="528" t="s">
        <v>373</v>
      </c>
      <c r="I94" s="528" t="s">
        <v>374</v>
      </c>
      <c r="J94" s="549" t="s">
        <v>375</v>
      </c>
      <c r="K94" s="529" t="s">
        <v>376</v>
      </c>
      <c r="L94" s="528" t="s">
        <v>373</v>
      </c>
      <c r="M94" s="528" t="s">
        <v>374</v>
      </c>
      <c r="N94" s="549" t="s">
        <v>375</v>
      </c>
      <c r="O94" s="529" t="s">
        <v>376</v>
      </c>
      <c r="P94" s="528" t="s">
        <v>373</v>
      </c>
      <c r="Q94" s="528" t="s">
        <v>374</v>
      </c>
      <c r="R94" s="549" t="s">
        <v>375</v>
      </c>
      <c r="S94" s="529" t="s">
        <v>376</v>
      </c>
    </row>
    <row r="95" spans="2:19" ht="29.25" customHeight="1" outlineLevel="1" x14ac:dyDescent="0.35">
      <c r="B95" s="922"/>
      <c r="C95" s="896"/>
      <c r="D95" s="912" t="s">
        <v>554</v>
      </c>
      <c r="E95" s="918">
        <v>20</v>
      </c>
      <c r="F95" s="912" t="s">
        <v>524</v>
      </c>
      <c r="G95" s="916" t="s">
        <v>523</v>
      </c>
      <c r="H95" s="920" t="s">
        <v>554</v>
      </c>
      <c r="I95" s="870">
        <v>400</v>
      </c>
      <c r="J95" s="870" t="s">
        <v>524</v>
      </c>
      <c r="K95" s="872" t="s">
        <v>496</v>
      </c>
      <c r="L95" s="870"/>
      <c r="M95" s="870"/>
      <c r="N95" s="870"/>
      <c r="O95" s="872"/>
      <c r="P95" s="870"/>
      <c r="Q95" s="870"/>
      <c r="R95" s="870"/>
      <c r="S95" s="872"/>
    </row>
    <row r="96" spans="2:19" ht="29.25" customHeight="1" outlineLevel="1" x14ac:dyDescent="0.35">
      <c r="B96" s="922"/>
      <c r="C96" s="896"/>
      <c r="D96" s="913"/>
      <c r="E96" s="919"/>
      <c r="F96" s="913"/>
      <c r="G96" s="917"/>
      <c r="H96" s="921"/>
      <c r="I96" s="871"/>
      <c r="J96" s="871"/>
      <c r="K96" s="873"/>
      <c r="L96" s="871"/>
      <c r="M96" s="871"/>
      <c r="N96" s="871"/>
      <c r="O96" s="873"/>
      <c r="P96" s="871"/>
      <c r="Q96" s="871"/>
      <c r="R96" s="871"/>
      <c r="S96" s="873"/>
    </row>
    <row r="97" spans="2:19" ht="77.5" outlineLevel="1" x14ac:dyDescent="0.35">
      <c r="B97" s="922"/>
      <c r="C97" s="896"/>
      <c r="D97" s="528" t="s">
        <v>373</v>
      </c>
      <c r="E97" s="528" t="s">
        <v>374</v>
      </c>
      <c r="F97" s="549" t="s">
        <v>375</v>
      </c>
      <c r="G97" s="529" t="s">
        <v>376</v>
      </c>
      <c r="H97" s="528" t="s">
        <v>373</v>
      </c>
      <c r="I97" s="528" t="s">
        <v>374</v>
      </c>
      <c r="J97" s="549" t="s">
        <v>375</v>
      </c>
      <c r="K97" s="529" t="s">
        <v>376</v>
      </c>
      <c r="L97" s="528" t="s">
        <v>373</v>
      </c>
      <c r="M97" s="528" t="s">
        <v>374</v>
      </c>
      <c r="N97" s="549" t="s">
        <v>375</v>
      </c>
      <c r="O97" s="529" t="s">
        <v>376</v>
      </c>
      <c r="P97" s="528" t="s">
        <v>373</v>
      </c>
      <c r="Q97" s="528" t="s">
        <v>374</v>
      </c>
      <c r="R97" s="549" t="s">
        <v>375</v>
      </c>
      <c r="S97" s="529" t="s">
        <v>376</v>
      </c>
    </row>
    <row r="98" spans="2:19" ht="29.25" customHeight="1" outlineLevel="1" x14ac:dyDescent="0.35">
      <c r="B98" s="922"/>
      <c r="C98" s="896"/>
      <c r="D98" s="912"/>
      <c r="E98" s="914"/>
      <c r="F98" s="912"/>
      <c r="G98" s="916"/>
      <c r="H98" s="870"/>
      <c r="I98" s="870"/>
      <c r="J98" s="870"/>
      <c r="K98" s="872"/>
      <c r="L98" s="870"/>
      <c r="M98" s="870"/>
      <c r="N98" s="870"/>
      <c r="O98" s="872"/>
      <c r="P98" s="870"/>
      <c r="Q98" s="870"/>
      <c r="R98" s="870"/>
      <c r="S98" s="872"/>
    </row>
    <row r="99" spans="2:19" ht="29.25" customHeight="1" outlineLevel="1" x14ac:dyDescent="0.35">
      <c r="B99" s="922"/>
      <c r="C99" s="886"/>
      <c r="D99" s="913"/>
      <c r="E99" s="915"/>
      <c r="F99" s="913"/>
      <c r="G99" s="917"/>
      <c r="H99" s="871"/>
      <c r="I99" s="871"/>
      <c r="J99" s="871"/>
      <c r="K99" s="873"/>
      <c r="L99" s="871"/>
      <c r="M99" s="871"/>
      <c r="N99" s="871"/>
      <c r="O99" s="873"/>
      <c r="P99" s="871"/>
      <c r="Q99" s="871"/>
      <c r="R99" s="871"/>
      <c r="S99" s="873"/>
    </row>
    <row r="100" spans="2:19" ht="16" thickBot="1" x14ac:dyDescent="0.4">
      <c r="B100" s="516"/>
      <c r="C100" s="516"/>
    </row>
    <row r="101" spans="2:19" ht="16" thickBot="1" x14ac:dyDescent="0.4">
      <c r="B101" s="516"/>
      <c r="C101" s="516"/>
      <c r="D101" s="904" t="s">
        <v>317</v>
      </c>
      <c r="E101" s="905"/>
      <c r="F101" s="905"/>
      <c r="G101" s="906"/>
      <c r="H101" s="867" t="s">
        <v>377</v>
      </c>
      <c r="I101" s="868"/>
      <c r="J101" s="868"/>
      <c r="K101" s="869"/>
      <c r="L101" s="867" t="s">
        <v>319</v>
      </c>
      <c r="M101" s="868"/>
      <c r="N101" s="868"/>
      <c r="O101" s="869"/>
      <c r="P101" s="867" t="s">
        <v>320</v>
      </c>
      <c r="Q101" s="868"/>
      <c r="R101" s="868"/>
      <c r="S101" s="869"/>
    </row>
    <row r="102" spans="2:19" ht="33.75" customHeight="1" x14ac:dyDescent="0.35">
      <c r="B102" s="907" t="s">
        <v>378</v>
      </c>
      <c r="C102" s="897" t="s">
        <v>379</v>
      </c>
      <c r="D102" s="578" t="s">
        <v>380</v>
      </c>
      <c r="E102" s="579" t="s">
        <v>381</v>
      </c>
      <c r="F102" s="857" t="s">
        <v>382</v>
      </c>
      <c r="G102" s="858"/>
      <c r="H102" s="578" t="s">
        <v>380</v>
      </c>
      <c r="I102" s="579" t="s">
        <v>381</v>
      </c>
      <c r="J102" s="857" t="s">
        <v>382</v>
      </c>
      <c r="K102" s="858"/>
      <c r="L102" s="578" t="s">
        <v>380</v>
      </c>
      <c r="M102" s="579" t="s">
        <v>381</v>
      </c>
      <c r="N102" s="857" t="s">
        <v>382</v>
      </c>
      <c r="O102" s="858"/>
      <c r="P102" s="578" t="s">
        <v>380</v>
      </c>
      <c r="Q102" s="579" t="s">
        <v>381</v>
      </c>
      <c r="R102" s="857" t="s">
        <v>382</v>
      </c>
      <c r="S102" s="858"/>
    </row>
    <row r="103" spans="2:19" ht="30" customHeight="1" x14ac:dyDescent="0.35">
      <c r="B103" s="908"/>
      <c r="C103" s="898"/>
      <c r="D103" s="580">
        <v>5000</v>
      </c>
      <c r="E103" s="581">
        <v>0.11</v>
      </c>
      <c r="F103" s="910" t="s">
        <v>484</v>
      </c>
      <c r="G103" s="911"/>
      <c r="H103" s="582">
        <v>5000</v>
      </c>
      <c r="I103" s="583">
        <v>0.11</v>
      </c>
      <c r="J103" s="874" t="s">
        <v>474</v>
      </c>
      <c r="K103" s="875"/>
      <c r="L103" s="582"/>
      <c r="M103" s="583"/>
      <c r="N103" s="874"/>
      <c r="O103" s="875"/>
      <c r="P103" s="582"/>
      <c r="Q103" s="583"/>
      <c r="R103" s="874"/>
      <c r="S103" s="875"/>
    </row>
    <row r="104" spans="2:19" ht="32.25" customHeight="1" x14ac:dyDescent="0.35">
      <c r="B104" s="908"/>
      <c r="C104" s="907" t="s">
        <v>383</v>
      </c>
      <c r="D104" s="584" t="s">
        <v>380</v>
      </c>
      <c r="E104" s="528" t="s">
        <v>381</v>
      </c>
      <c r="F104" s="528" t="s">
        <v>384</v>
      </c>
      <c r="G104" s="555" t="s">
        <v>385</v>
      </c>
      <c r="H104" s="584" t="s">
        <v>380</v>
      </c>
      <c r="I104" s="528" t="s">
        <v>381</v>
      </c>
      <c r="J104" s="528" t="s">
        <v>384</v>
      </c>
      <c r="K104" s="555" t="s">
        <v>385</v>
      </c>
      <c r="L104" s="584" t="s">
        <v>380</v>
      </c>
      <c r="M104" s="528" t="s">
        <v>381</v>
      </c>
      <c r="N104" s="528" t="s">
        <v>384</v>
      </c>
      <c r="O104" s="555" t="s">
        <v>385</v>
      </c>
      <c r="P104" s="584" t="s">
        <v>380</v>
      </c>
      <c r="Q104" s="528" t="s">
        <v>381</v>
      </c>
      <c r="R104" s="528" t="s">
        <v>384</v>
      </c>
      <c r="S104" s="555" t="s">
        <v>385</v>
      </c>
    </row>
    <row r="105" spans="2:19" ht="27.75" customHeight="1" x14ac:dyDescent="0.35">
      <c r="B105" s="908"/>
      <c r="C105" s="908"/>
      <c r="D105" s="585">
        <v>3000</v>
      </c>
      <c r="E105" s="586">
        <v>0.11</v>
      </c>
      <c r="F105" s="587" t="s">
        <v>559</v>
      </c>
      <c r="G105" s="588" t="s">
        <v>433</v>
      </c>
      <c r="H105" s="582">
        <v>3000</v>
      </c>
      <c r="I105" s="552">
        <v>0.11</v>
      </c>
      <c r="J105" s="535" t="s">
        <v>566</v>
      </c>
      <c r="K105" s="577" t="s">
        <v>433</v>
      </c>
      <c r="L105" s="582"/>
      <c r="M105" s="552"/>
      <c r="N105" s="535"/>
      <c r="O105" s="577"/>
      <c r="P105" s="582"/>
      <c r="Q105" s="552"/>
      <c r="R105" s="535"/>
      <c r="S105" s="577"/>
    </row>
    <row r="106" spans="2:19" ht="27.75" customHeight="1" outlineLevel="1" x14ac:dyDescent="0.35">
      <c r="B106" s="908"/>
      <c r="C106" s="908"/>
      <c r="D106" s="584" t="s">
        <v>380</v>
      </c>
      <c r="E106" s="528" t="s">
        <v>381</v>
      </c>
      <c r="F106" s="528" t="s">
        <v>384</v>
      </c>
      <c r="G106" s="555" t="s">
        <v>385</v>
      </c>
      <c r="H106" s="584" t="s">
        <v>380</v>
      </c>
      <c r="I106" s="528" t="s">
        <v>381</v>
      </c>
      <c r="J106" s="528" t="s">
        <v>384</v>
      </c>
      <c r="K106" s="555" t="s">
        <v>385</v>
      </c>
      <c r="L106" s="584" t="s">
        <v>380</v>
      </c>
      <c r="M106" s="528" t="s">
        <v>381</v>
      </c>
      <c r="N106" s="528" t="s">
        <v>384</v>
      </c>
      <c r="O106" s="555" t="s">
        <v>385</v>
      </c>
      <c r="P106" s="584" t="s">
        <v>380</v>
      </c>
      <c r="Q106" s="528" t="s">
        <v>381</v>
      </c>
      <c r="R106" s="528" t="s">
        <v>384</v>
      </c>
      <c r="S106" s="555" t="s">
        <v>385</v>
      </c>
    </row>
    <row r="107" spans="2:19" ht="27.75" customHeight="1" outlineLevel="1" x14ac:dyDescent="0.35">
      <c r="B107" s="908"/>
      <c r="C107" s="908"/>
      <c r="D107" s="585">
        <v>500</v>
      </c>
      <c r="E107" s="586">
        <v>0.02</v>
      </c>
      <c r="F107" s="589" t="s">
        <v>547</v>
      </c>
      <c r="G107" s="588" t="s">
        <v>447</v>
      </c>
      <c r="H107" s="582">
        <v>500</v>
      </c>
      <c r="I107" s="586">
        <v>0.02</v>
      </c>
      <c r="J107" s="535" t="s">
        <v>551</v>
      </c>
      <c r="K107" s="577" t="s">
        <v>447</v>
      </c>
      <c r="L107" s="582"/>
      <c r="M107" s="552"/>
      <c r="N107" s="535"/>
      <c r="O107" s="577"/>
      <c r="P107" s="582"/>
      <c r="Q107" s="552"/>
      <c r="R107" s="535"/>
      <c r="S107" s="577"/>
    </row>
    <row r="108" spans="2:19" ht="27.75" customHeight="1" outlineLevel="1" x14ac:dyDescent="0.35">
      <c r="B108" s="908"/>
      <c r="C108" s="908"/>
      <c r="D108" s="584" t="s">
        <v>380</v>
      </c>
      <c r="E108" s="528" t="s">
        <v>381</v>
      </c>
      <c r="F108" s="528" t="s">
        <v>384</v>
      </c>
      <c r="G108" s="555" t="s">
        <v>385</v>
      </c>
      <c r="H108" s="584" t="s">
        <v>380</v>
      </c>
      <c r="I108" s="528" t="s">
        <v>381</v>
      </c>
      <c r="J108" s="528" t="s">
        <v>384</v>
      </c>
      <c r="K108" s="555" t="s">
        <v>385</v>
      </c>
      <c r="L108" s="584" t="s">
        <v>380</v>
      </c>
      <c r="M108" s="528" t="s">
        <v>381</v>
      </c>
      <c r="N108" s="528" t="s">
        <v>384</v>
      </c>
      <c r="O108" s="555" t="s">
        <v>385</v>
      </c>
      <c r="P108" s="584" t="s">
        <v>380</v>
      </c>
      <c r="Q108" s="528" t="s">
        <v>381</v>
      </c>
      <c r="R108" s="528" t="s">
        <v>384</v>
      </c>
      <c r="S108" s="555" t="s">
        <v>385</v>
      </c>
    </row>
    <row r="109" spans="2:19" ht="27.75" customHeight="1" outlineLevel="1" x14ac:dyDescent="0.35">
      <c r="B109" s="908"/>
      <c r="C109" s="908"/>
      <c r="D109" s="585">
        <v>400</v>
      </c>
      <c r="E109" s="586">
        <v>0.02</v>
      </c>
      <c r="F109" s="589" t="s">
        <v>563</v>
      </c>
      <c r="G109" s="588" t="s">
        <v>464</v>
      </c>
      <c r="H109" s="582">
        <v>400</v>
      </c>
      <c r="I109" s="586">
        <v>0.02</v>
      </c>
      <c r="J109" s="535" t="s">
        <v>569</v>
      </c>
      <c r="K109" s="577" t="s">
        <v>464</v>
      </c>
      <c r="L109" s="582"/>
      <c r="M109" s="552"/>
      <c r="N109" s="535"/>
      <c r="O109" s="577"/>
      <c r="P109" s="582"/>
      <c r="Q109" s="552"/>
      <c r="R109" s="535"/>
      <c r="S109" s="577"/>
    </row>
    <row r="110" spans="2:19" ht="27.75" customHeight="1" outlineLevel="1" x14ac:dyDescent="0.35">
      <c r="B110" s="908"/>
      <c r="C110" s="908"/>
      <c r="D110" s="584" t="s">
        <v>380</v>
      </c>
      <c r="E110" s="528" t="s">
        <v>381</v>
      </c>
      <c r="F110" s="528" t="s">
        <v>384</v>
      </c>
      <c r="G110" s="555" t="s">
        <v>385</v>
      </c>
      <c r="H110" s="584" t="s">
        <v>380</v>
      </c>
      <c r="I110" s="528" t="s">
        <v>381</v>
      </c>
      <c r="J110" s="528" t="s">
        <v>384</v>
      </c>
      <c r="K110" s="555" t="s">
        <v>385</v>
      </c>
      <c r="L110" s="584" t="s">
        <v>380</v>
      </c>
      <c r="M110" s="528" t="s">
        <v>381</v>
      </c>
      <c r="N110" s="528" t="s">
        <v>384</v>
      </c>
      <c r="O110" s="555" t="s">
        <v>385</v>
      </c>
      <c r="P110" s="584" t="s">
        <v>380</v>
      </c>
      <c r="Q110" s="528" t="s">
        <v>381</v>
      </c>
      <c r="R110" s="528" t="s">
        <v>384</v>
      </c>
      <c r="S110" s="555" t="s">
        <v>385</v>
      </c>
    </row>
    <row r="111" spans="2:19" ht="27.75" customHeight="1" outlineLevel="1" x14ac:dyDescent="0.35">
      <c r="B111" s="909"/>
      <c r="C111" s="909"/>
      <c r="D111" s="590"/>
      <c r="E111" s="550"/>
      <c r="F111" s="537"/>
      <c r="G111" s="574"/>
      <c r="H111" s="582"/>
      <c r="I111" s="552"/>
      <c r="J111" s="535"/>
      <c r="K111" s="577"/>
      <c r="L111" s="582"/>
      <c r="M111" s="552"/>
      <c r="N111" s="535"/>
      <c r="O111" s="577"/>
      <c r="P111" s="582"/>
      <c r="Q111" s="552"/>
      <c r="R111" s="535"/>
      <c r="S111" s="577"/>
    </row>
    <row r="112" spans="2:19" ht="26.25" customHeight="1" x14ac:dyDescent="0.35">
      <c r="B112" s="899" t="s">
        <v>386</v>
      </c>
      <c r="C112" s="902" t="s">
        <v>387</v>
      </c>
      <c r="D112" s="591" t="s">
        <v>388</v>
      </c>
      <c r="E112" s="591" t="s">
        <v>389</v>
      </c>
      <c r="F112" s="591" t="s">
        <v>316</v>
      </c>
      <c r="G112" s="592" t="s">
        <v>390</v>
      </c>
      <c r="H112" s="593" t="s">
        <v>388</v>
      </c>
      <c r="I112" s="591" t="s">
        <v>389</v>
      </c>
      <c r="J112" s="591" t="s">
        <v>316</v>
      </c>
      <c r="K112" s="592" t="s">
        <v>390</v>
      </c>
      <c r="L112" s="591" t="s">
        <v>388</v>
      </c>
      <c r="M112" s="591" t="s">
        <v>389</v>
      </c>
      <c r="N112" s="591" t="s">
        <v>316</v>
      </c>
      <c r="O112" s="592" t="s">
        <v>390</v>
      </c>
      <c r="P112" s="591" t="s">
        <v>388</v>
      </c>
      <c r="Q112" s="591" t="s">
        <v>389</v>
      </c>
      <c r="R112" s="591" t="s">
        <v>316</v>
      </c>
      <c r="S112" s="592" t="s">
        <v>390</v>
      </c>
    </row>
    <row r="113" spans="2:19" ht="32.25" customHeight="1" x14ac:dyDescent="0.35">
      <c r="B113" s="900"/>
      <c r="C113" s="903"/>
      <c r="D113" s="531">
        <v>660</v>
      </c>
      <c r="E113" s="531" t="s">
        <v>438</v>
      </c>
      <c r="F113" s="531" t="s">
        <v>476</v>
      </c>
      <c r="G113" s="531" t="s">
        <v>535</v>
      </c>
      <c r="H113" s="570">
        <v>5150</v>
      </c>
      <c r="I113" s="505" t="s">
        <v>454</v>
      </c>
      <c r="J113" s="505" t="s">
        <v>476</v>
      </c>
      <c r="K113" s="536" t="s">
        <v>535</v>
      </c>
      <c r="L113" s="505"/>
      <c r="M113" s="505"/>
      <c r="N113" s="505"/>
      <c r="O113" s="536"/>
      <c r="P113" s="505"/>
      <c r="Q113" s="505"/>
      <c r="R113" s="505"/>
      <c r="S113" s="536"/>
    </row>
    <row r="114" spans="2:19" ht="54" customHeight="1" x14ac:dyDescent="0.35">
      <c r="B114" s="900"/>
      <c r="C114" s="899" t="s">
        <v>1008</v>
      </c>
      <c r="D114" s="528" t="s">
        <v>1009</v>
      </c>
      <c r="E114" s="861" t="s">
        <v>391</v>
      </c>
      <c r="F114" s="862"/>
      <c r="G114" s="529" t="s">
        <v>392</v>
      </c>
      <c r="H114" s="528" t="s">
        <v>1009</v>
      </c>
      <c r="I114" s="861" t="s">
        <v>391</v>
      </c>
      <c r="J114" s="862"/>
      <c r="K114" s="529" t="s">
        <v>392</v>
      </c>
      <c r="L114" s="528" t="s">
        <v>1009</v>
      </c>
      <c r="M114" s="861" t="s">
        <v>391</v>
      </c>
      <c r="N114" s="862"/>
      <c r="O114" s="529" t="s">
        <v>392</v>
      </c>
      <c r="P114" s="528" t="s">
        <v>1009</v>
      </c>
      <c r="Q114" s="528" t="s">
        <v>391</v>
      </c>
      <c r="R114" s="861" t="s">
        <v>391</v>
      </c>
      <c r="S114" s="862"/>
    </row>
    <row r="115" spans="2:19" ht="23.25" customHeight="1" x14ac:dyDescent="0.35">
      <c r="B115" s="900"/>
      <c r="C115" s="900"/>
      <c r="D115" s="594">
        <v>5000</v>
      </c>
      <c r="E115" s="863" t="s">
        <v>427</v>
      </c>
      <c r="F115" s="864"/>
      <c r="G115" s="595">
        <v>94</v>
      </c>
      <c r="H115" s="596">
        <v>5000</v>
      </c>
      <c r="I115" s="863" t="s">
        <v>427</v>
      </c>
      <c r="J115" s="864"/>
      <c r="K115" s="597">
        <v>171</v>
      </c>
      <c r="L115" s="596"/>
      <c r="M115" s="865"/>
      <c r="N115" s="866"/>
      <c r="O115" s="536"/>
      <c r="P115" s="596"/>
      <c r="Q115" s="505"/>
      <c r="R115" s="865"/>
      <c r="S115" s="866"/>
    </row>
    <row r="116" spans="2:19" ht="48" customHeight="1" outlineLevel="1" x14ac:dyDescent="0.35">
      <c r="B116" s="900"/>
      <c r="C116" s="900"/>
      <c r="D116" s="528" t="s">
        <v>1009</v>
      </c>
      <c r="E116" s="861" t="s">
        <v>391</v>
      </c>
      <c r="F116" s="862"/>
      <c r="G116" s="529" t="s">
        <v>392</v>
      </c>
      <c r="H116" s="528" t="s">
        <v>1009</v>
      </c>
      <c r="I116" s="861" t="s">
        <v>391</v>
      </c>
      <c r="J116" s="862"/>
      <c r="K116" s="529" t="s">
        <v>392</v>
      </c>
      <c r="L116" s="528" t="s">
        <v>1009</v>
      </c>
      <c r="M116" s="861" t="s">
        <v>391</v>
      </c>
      <c r="N116" s="862"/>
      <c r="O116" s="529" t="s">
        <v>392</v>
      </c>
      <c r="P116" s="528" t="s">
        <v>1009</v>
      </c>
      <c r="Q116" s="528" t="s">
        <v>391</v>
      </c>
      <c r="R116" s="861" t="s">
        <v>391</v>
      </c>
      <c r="S116" s="862"/>
    </row>
    <row r="117" spans="2:19" ht="23.25" customHeight="1" outlineLevel="1" x14ac:dyDescent="0.35">
      <c r="B117" s="900"/>
      <c r="C117" s="900"/>
      <c r="D117" s="594"/>
      <c r="E117" s="863"/>
      <c r="F117" s="864"/>
      <c r="G117" s="595"/>
      <c r="H117" s="596"/>
      <c r="I117" s="863"/>
      <c r="J117" s="864"/>
      <c r="K117" s="595"/>
      <c r="L117" s="596"/>
      <c r="M117" s="865"/>
      <c r="N117" s="866"/>
      <c r="O117" s="536"/>
      <c r="P117" s="596"/>
      <c r="Q117" s="505"/>
      <c r="R117" s="865"/>
      <c r="S117" s="866"/>
    </row>
    <row r="118" spans="2:19" ht="33" customHeight="1" outlineLevel="1" x14ac:dyDescent="0.35">
      <c r="B118" s="900"/>
      <c r="C118" s="900"/>
      <c r="D118" s="528" t="s">
        <v>1009</v>
      </c>
      <c r="E118" s="861" t="s">
        <v>391</v>
      </c>
      <c r="F118" s="862"/>
      <c r="G118" s="529" t="s">
        <v>392</v>
      </c>
      <c r="H118" s="528" t="s">
        <v>1009</v>
      </c>
      <c r="I118" s="861" t="s">
        <v>391</v>
      </c>
      <c r="J118" s="862"/>
      <c r="K118" s="529" t="s">
        <v>392</v>
      </c>
      <c r="L118" s="528" t="s">
        <v>1009</v>
      </c>
      <c r="M118" s="861" t="s">
        <v>391</v>
      </c>
      <c r="N118" s="862"/>
      <c r="O118" s="529" t="s">
        <v>392</v>
      </c>
      <c r="P118" s="528" t="s">
        <v>1009</v>
      </c>
      <c r="Q118" s="528" t="s">
        <v>391</v>
      </c>
      <c r="R118" s="861" t="s">
        <v>391</v>
      </c>
      <c r="S118" s="862"/>
    </row>
    <row r="119" spans="2:19" ht="23.25" customHeight="1" outlineLevel="1" x14ac:dyDescent="0.35">
      <c r="B119" s="900"/>
      <c r="C119" s="900"/>
      <c r="D119" s="565"/>
      <c r="E119" s="887"/>
      <c r="F119" s="888"/>
      <c r="G119" s="538"/>
      <c r="H119" s="596"/>
      <c r="I119" s="865"/>
      <c r="J119" s="866"/>
      <c r="K119" s="536"/>
      <c r="L119" s="596"/>
      <c r="M119" s="865"/>
      <c r="N119" s="866"/>
      <c r="O119" s="536"/>
      <c r="P119" s="596"/>
      <c r="Q119" s="505"/>
      <c r="R119" s="865"/>
      <c r="S119" s="866"/>
    </row>
    <row r="120" spans="2:19" ht="34.5" customHeight="1" outlineLevel="1" x14ac:dyDescent="0.35">
      <c r="B120" s="900"/>
      <c r="C120" s="900"/>
      <c r="D120" s="528" t="s">
        <v>1009</v>
      </c>
      <c r="E120" s="861" t="s">
        <v>391</v>
      </c>
      <c r="F120" s="862"/>
      <c r="G120" s="529" t="s">
        <v>392</v>
      </c>
      <c r="H120" s="528" t="s">
        <v>1009</v>
      </c>
      <c r="I120" s="861" t="s">
        <v>391</v>
      </c>
      <c r="J120" s="862"/>
      <c r="K120" s="529" t="s">
        <v>392</v>
      </c>
      <c r="L120" s="528" t="s">
        <v>1009</v>
      </c>
      <c r="M120" s="861" t="s">
        <v>391</v>
      </c>
      <c r="N120" s="862"/>
      <c r="O120" s="529" t="s">
        <v>392</v>
      </c>
      <c r="P120" s="528" t="s">
        <v>1009</v>
      </c>
      <c r="Q120" s="528" t="s">
        <v>391</v>
      </c>
      <c r="R120" s="861" t="s">
        <v>391</v>
      </c>
      <c r="S120" s="862"/>
    </row>
    <row r="121" spans="2:19" ht="23.25" customHeight="1" outlineLevel="1" x14ac:dyDescent="0.35">
      <c r="B121" s="901"/>
      <c r="C121" s="901"/>
      <c r="D121" s="565"/>
      <c r="E121" s="887"/>
      <c r="F121" s="888"/>
      <c r="G121" s="538"/>
      <c r="H121" s="596"/>
      <c r="I121" s="865"/>
      <c r="J121" s="866"/>
      <c r="K121" s="536"/>
      <c r="L121" s="596"/>
      <c r="M121" s="865"/>
      <c r="N121" s="866"/>
      <c r="O121" s="536"/>
      <c r="P121" s="596"/>
      <c r="Q121" s="505"/>
      <c r="R121" s="865"/>
      <c r="S121" s="866"/>
    </row>
    <row r="122" spans="2:19" ht="16" thickBot="1" x14ac:dyDescent="0.4">
      <c r="B122" s="516"/>
      <c r="C122" s="516"/>
    </row>
    <row r="123" spans="2:19" ht="16" thickBot="1" x14ac:dyDescent="0.4">
      <c r="B123" s="516"/>
      <c r="C123" s="516"/>
      <c r="D123" s="904" t="s">
        <v>317</v>
      </c>
      <c r="E123" s="905"/>
      <c r="F123" s="905"/>
      <c r="G123" s="906"/>
      <c r="H123" s="904" t="s">
        <v>318</v>
      </c>
      <c r="I123" s="905"/>
      <c r="J123" s="905"/>
      <c r="K123" s="906"/>
      <c r="L123" s="905" t="s">
        <v>319</v>
      </c>
      <c r="M123" s="905"/>
      <c r="N123" s="905"/>
      <c r="O123" s="905"/>
      <c r="P123" s="904" t="s">
        <v>320</v>
      </c>
      <c r="Q123" s="905"/>
      <c r="R123" s="905"/>
      <c r="S123" s="906"/>
    </row>
    <row r="124" spans="2:19" x14ac:dyDescent="0.35">
      <c r="B124" s="897" t="s">
        <v>393</v>
      </c>
      <c r="C124" s="897" t="s">
        <v>394</v>
      </c>
      <c r="D124" s="857" t="s">
        <v>395</v>
      </c>
      <c r="E124" s="889"/>
      <c r="F124" s="889"/>
      <c r="G124" s="858"/>
      <c r="H124" s="857" t="s">
        <v>395</v>
      </c>
      <c r="I124" s="889"/>
      <c r="J124" s="889"/>
      <c r="K124" s="858"/>
      <c r="L124" s="857" t="s">
        <v>395</v>
      </c>
      <c r="M124" s="889"/>
      <c r="N124" s="889"/>
      <c r="O124" s="858"/>
      <c r="P124" s="857" t="s">
        <v>395</v>
      </c>
      <c r="Q124" s="889"/>
      <c r="R124" s="889"/>
      <c r="S124" s="858"/>
    </row>
    <row r="125" spans="2:19" ht="45" customHeight="1" x14ac:dyDescent="0.35">
      <c r="B125" s="898"/>
      <c r="C125" s="898"/>
      <c r="D125" s="890"/>
      <c r="E125" s="891"/>
      <c r="F125" s="891"/>
      <c r="G125" s="892"/>
      <c r="H125" s="893"/>
      <c r="I125" s="894"/>
      <c r="J125" s="894"/>
      <c r="K125" s="895"/>
      <c r="L125" s="893"/>
      <c r="M125" s="894"/>
      <c r="N125" s="894"/>
      <c r="O125" s="895"/>
      <c r="P125" s="893"/>
      <c r="Q125" s="894"/>
      <c r="R125" s="894"/>
      <c r="S125" s="895"/>
    </row>
    <row r="126" spans="2:19" ht="32.25" customHeight="1" x14ac:dyDescent="0.35">
      <c r="B126" s="885" t="s">
        <v>396</v>
      </c>
      <c r="C126" s="885" t="s">
        <v>397</v>
      </c>
      <c r="D126" s="591" t="s">
        <v>398</v>
      </c>
      <c r="E126" s="554" t="s">
        <v>316</v>
      </c>
      <c r="F126" s="528" t="s">
        <v>337</v>
      </c>
      <c r="G126" s="529" t="s">
        <v>353</v>
      </c>
      <c r="H126" s="591" t="s">
        <v>398</v>
      </c>
      <c r="I126" s="554" t="s">
        <v>316</v>
      </c>
      <c r="J126" s="528" t="s">
        <v>337</v>
      </c>
      <c r="K126" s="529" t="s">
        <v>353</v>
      </c>
      <c r="L126" s="591" t="s">
        <v>398</v>
      </c>
      <c r="M126" s="554" t="s">
        <v>316</v>
      </c>
      <c r="N126" s="528" t="s">
        <v>337</v>
      </c>
      <c r="O126" s="529" t="s">
        <v>353</v>
      </c>
      <c r="P126" s="591" t="s">
        <v>398</v>
      </c>
      <c r="Q126" s="554" t="s">
        <v>316</v>
      </c>
      <c r="R126" s="528" t="s">
        <v>337</v>
      </c>
      <c r="S126" s="529" t="s">
        <v>353</v>
      </c>
    </row>
    <row r="127" spans="2:19" ht="23.25" customHeight="1" x14ac:dyDescent="0.35">
      <c r="B127" s="896"/>
      <c r="C127" s="886"/>
      <c r="D127" s="531">
        <v>0</v>
      </c>
      <c r="E127" s="598" t="s">
        <v>472</v>
      </c>
      <c r="F127" s="531" t="s">
        <v>483</v>
      </c>
      <c r="G127" s="538" t="s">
        <v>552</v>
      </c>
      <c r="H127" s="505">
        <v>1</v>
      </c>
      <c r="I127" s="599" t="s">
        <v>472</v>
      </c>
      <c r="J127" s="505" t="s">
        <v>478</v>
      </c>
      <c r="K127" s="600" t="s">
        <v>552</v>
      </c>
      <c r="L127" s="505"/>
      <c r="M127" s="599"/>
      <c r="N127" s="505"/>
      <c r="O127" s="561"/>
      <c r="P127" s="505"/>
      <c r="Q127" s="599"/>
      <c r="R127" s="505"/>
      <c r="S127" s="561"/>
    </row>
    <row r="128" spans="2:19" ht="29.25" customHeight="1" x14ac:dyDescent="0.35">
      <c r="B128" s="896"/>
      <c r="C128" s="885" t="s">
        <v>399</v>
      </c>
      <c r="D128" s="528" t="s">
        <v>400</v>
      </c>
      <c r="E128" s="861" t="s">
        <v>401</v>
      </c>
      <c r="F128" s="862"/>
      <c r="G128" s="529" t="s">
        <v>402</v>
      </c>
      <c r="H128" s="528" t="s">
        <v>400</v>
      </c>
      <c r="I128" s="861" t="s">
        <v>401</v>
      </c>
      <c r="J128" s="862"/>
      <c r="K128" s="529" t="s">
        <v>402</v>
      </c>
      <c r="L128" s="528" t="s">
        <v>400</v>
      </c>
      <c r="M128" s="861" t="s">
        <v>401</v>
      </c>
      <c r="N128" s="862"/>
      <c r="O128" s="529" t="s">
        <v>402</v>
      </c>
      <c r="P128" s="528" t="s">
        <v>400</v>
      </c>
      <c r="Q128" s="861" t="s">
        <v>401</v>
      </c>
      <c r="R128" s="862"/>
      <c r="S128" s="529" t="s">
        <v>402</v>
      </c>
    </row>
    <row r="129" spans="2:19" ht="39" customHeight="1" x14ac:dyDescent="0.35">
      <c r="B129" s="886"/>
      <c r="C129" s="886"/>
      <c r="D129" s="565">
        <v>2</v>
      </c>
      <c r="E129" s="887" t="s">
        <v>416</v>
      </c>
      <c r="F129" s="888"/>
      <c r="G129" s="538" t="s">
        <v>518</v>
      </c>
      <c r="H129" s="596">
        <v>2</v>
      </c>
      <c r="I129" s="865" t="s">
        <v>412</v>
      </c>
      <c r="J129" s="866"/>
      <c r="K129" s="536" t="s">
        <v>504</v>
      </c>
      <c r="L129" s="596"/>
      <c r="M129" s="865"/>
      <c r="N129" s="866"/>
      <c r="O129" s="536"/>
      <c r="P129" s="596"/>
      <c r="Q129" s="865"/>
      <c r="R129" s="866"/>
      <c r="S129" s="536"/>
    </row>
    <row r="133" spans="2:19" ht="15" hidden="1" x14ac:dyDescent="0.35"/>
    <row r="134" spans="2:19" ht="15" hidden="1" x14ac:dyDescent="0.35"/>
    <row r="135" spans="2:19" ht="15" hidden="1" x14ac:dyDescent="0.35">
      <c r="D135" s="492" t="s">
        <v>403</v>
      </c>
    </row>
    <row r="136" spans="2:19" ht="15" hidden="1" x14ac:dyDescent="0.35">
      <c r="D136" s="492" t="s">
        <v>404</v>
      </c>
      <c r="E136" s="492" t="s">
        <v>1015</v>
      </c>
      <c r="F136" s="492" t="s">
        <v>405</v>
      </c>
      <c r="H136" s="492" t="s">
        <v>406</v>
      </c>
      <c r="I136" s="492" t="s">
        <v>407</v>
      </c>
    </row>
    <row r="137" spans="2:19" ht="15" hidden="1" x14ac:dyDescent="0.35">
      <c r="D137" s="492" t="s">
        <v>408</v>
      </c>
      <c r="E137" s="492" t="s">
        <v>409</v>
      </c>
      <c r="F137" s="492" t="s">
        <v>410</v>
      </c>
      <c r="H137" s="492" t="s">
        <v>411</v>
      </c>
      <c r="I137" s="492" t="s">
        <v>412</v>
      </c>
    </row>
    <row r="138" spans="2:19" ht="15" hidden="1" x14ac:dyDescent="0.35">
      <c r="D138" s="492" t="s">
        <v>413</v>
      </c>
      <c r="E138" s="492" t="s">
        <v>414</v>
      </c>
      <c r="F138" s="492" t="s">
        <v>415</v>
      </c>
      <c r="H138" s="492" t="s">
        <v>1016</v>
      </c>
      <c r="I138" s="492" t="s">
        <v>416</v>
      </c>
    </row>
    <row r="139" spans="2:19" ht="15" hidden="1" x14ac:dyDescent="0.35">
      <c r="D139" s="492" t="s">
        <v>417</v>
      </c>
      <c r="F139" s="492" t="s">
        <v>418</v>
      </c>
      <c r="G139" s="492" t="s">
        <v>1017</v>
      </c>
      <c r="H139" s="492" t="s">
        <v>419</v>
      </c>
      <c r="I139" s="492" t="s">
        <v>420</v>
      </c>
      <c r="K139" s="492" t="s">
        <v>421</v>
      </c>
    </row>
    <row r="140" spans="2:19" ht="15" hidden="1" x14ac:dyDescent="0.35">
      <c r="D140" s="492" t="s">
        <v>422</v>
      </c>
      <c r="F140" s="492" t="s">
        <v>423</v>
      </c>
      <c r="G140" s="492" t="s">
        <v>424</v>
      </c>
      <c r="H140" s="492" t="s">
        <v>425</v>
      </c>
      <c r="I140" s="492" t="s">
        <v>426</v>
      </c>
      <c r="K140" s="492" t="s">
        <v>427</v>
      </c>
      <c r="L140" s="492" t="s">
        <v>428</v>
      </c>
    </row>
    <row r="141" spans="2:19" ht="15" hidden="1" x14ac:dyDescent="0.35">
      <c r="D141" s="492" t="s">
        <v>429</v>
      </c>
      <c r="E141" s="601" t="s">
        <v>430</v>
      </c>
      <c r="G141" s="492" t="s">
        <v>431</v>
      </c>
      <c r="H141" s="492" t="s">
        <v>432</v>
      </c>
      <c r="K141" s="492" t="s">
        <v>433</v>
      </c>
      <c r="L141" s="492" t="s">
        <v>434</v>
      </c>
    </row>
    <row r="142" spans="2:19" ht="15" hidden="1" x14ac:dyDescent="0.35">
      <c r="D142" s="492" t="s">
        <v>435</v>
      </c>
      <c r="E142" s="602" t="s">
        <v>436</v>
      </c>
      <c r="K142" s="492" t="s">
        <v>437</v>
      </c>
      <c r="L142" s="492" t="s">
        <v>438</v>
      </c>
    </row>
    <row r="143" spans="2:19" ht="15" hidden="1" x14ac:dyDescent="0.35">
      <c r="E143" s="603" t="s">
        <v>439</v>
      </c>
      <c r="H143" s="492" t="s">
        <v>440</v>
      </c>
      <c r="K143" s="492" t="s">
        <v>441</v>
      </c>
      <c r="L143" s="492" t="s">
        <v>442</v>
      </c>
    </row>
    <row r="144" spans="2:19" ht="15" hidden="1" x14ac:dyDescent="0.35">
      <c r="H144" s="492" t="s">
        <v>443</v>
      </c>
      <c r="K144" s="492" t="s">
        <v>444</v>
      </c>
      <c r="L144" s="492" t="s">
        <v>445</v>
      </c>
    </row>
    <row r="145" spans="2:12" ht="15" hidden="1" x14ac:dyDescent="0.35">
      <c r="H145" s="492" t="s">
        <v>446</v>
      </c>
      <c r="K145" s="492" t="s">
        <v>447</v>
      </c>
      <c r="L145" s="492" t="s">
        <v>448</v>
      </c>
    </row>
    <row r="146" spans="2:12" ht="15" hidden="1" x14ac:dyDescent="0.35">
      <c r="B146" s="492" t="s">
        <v>449</v>
      </c>
      <c r="C146" s="492" t="s">
        <v>450</v>
      </c>
      <c r="D146" s="492" t="s">
        <v>449</v>
      </c>
      <c r="G146" s="492" t="s">
        <v>451</v>
      </c>
      <c r="H146" s="492" t="s">
        <v>452</v>
      </c>
      <c r="J146" s="492" t="s">
        <v>285</v>
      </c>
      <c r="K146" s="492" t="s">
        <v>453</v>
      </c>
      <c r="L146" s="492" t="s">
        <v>454</v>
      </c>
    </row>
    <row r="147" spans="2:12" ht="15" hidden="1" x14ac:dyDescent="0.35">
      <c r="B147" s="492">
        <v>1</v>
      </c>
      <c r="C147" s="492" t="s">
        <v>455</v>
      </c>
      <c r="D147" s="492" t="s">
        <v>456</v>
      </c>
      <c r="E147" s="492" t="s">
        <v>353</v>
      </c>
      <c r="F147" s="492" t="s">
        <v>11</v>
      </c>
      <c r="G147" s="492" t="s">
        <v>457</v>
      </c>
      <c r="H147" s="492" t="s">
        <v>458</v>
      </c>
      <c r="J147" s="492" t="s">
        <v>433</v>
      </c>
      <c r="K147" s="492" t="s">
        <v>459</v>
      </c>
    </row>
    <row r="148" spans="2:12" ht="15" hidden="1" x14ac:dyDescent="0.35">
      <c r="B148" s="492">
        <v>2</v>
      </c>
      <c r="C148" s="492" t="s">
        <v>460</v>
      </c>
      <c r="D148" s="492" t="s">
        <v>461</v>
      </c>
      <c r="E148" s="492" t="s">
        <v>337</v>
      </c>
      <c r="F148" s="492" t="s">
        <v>18</v>
      </c>
      <c r="G148" s="492" t="s">
        <v>462</v>
      </c>
      <c r="J148" s="492" t="s">
        <v>463</v>
      </c>
      <c r="K148" s="492" t="s">
        <v>464</v>
      </c>
    </row>
    <row r="149" spans="2:12" ht="15" hidden="1" x14ac:dyDescent="0.35">
      <c r="B149" s="492">
        <v>3</v>
      </c>
      <c r="C149" s="492" t="s">
        <v>465</v>
      </c>
      <c r="D149" s="492" t="s">
        <v>466</v>
      </c>
      <c r="E149" s="492" t="s">
        <v>316</v>
      </c>
      <c r="G149" s="492" t="s">
        <v>467</v>
      </c>
      <c r="J149" s="492" t="s">
        <v>468</v>
      </c>
      <c r="K149" s="492" t="s">
        <v>469</v>
      </c>
    </row>
    <row r="150" spans="2:12" ht="15" hidden="1" x14ac:dyDescent="0.35">
      <c r="B150" s="492">
        <v>4</v>
      </c>
      <c r="C150" s="492" t="s">
        <v>458</v>
      </c>
      <c r="H150" s="492" t="s">
        <v>470</v>
      </c>
      <c r="I150" s="492" t="s">
        <v>471</v>
      </c>
      <c r="J150" s="492" t="s">
        <v>472</v>
      </c>
      <c r="K150" s="492" t="s">
        <v>473</v>
      </c>
    </row>
    <row r="151" spans="2:12" ht="15" hidden="1" x14ac:dyDescent="0.35">
      <c r="D151" s="492" t="s">
        <v>467</v>
      </c>
      <c r="H151" s="492" t="s">
        <v>474</v>
      </c>
      <c r="I151" s="492" t="s">
        <v>475</v>
      </c>
      <c r="J151" s="492" t="s">
        <v>476</v>
      </c>
      <c r="K151" s="492" t="s">
        <v>477</v>
      </c>
    </row>
    <row r="152" spans="2:12" ht="15" hidden="1" x14ac:dyDescent="0.35">
      <c r="D152" s="492" t="s">
        <v>478</v>
      </c>
      <c r="H152" s="492" t="s">
        <v>479</v>
      </c>
      <c r="I152" s="492" t="s">
        <v>480</v>
      </c>
      <c r="J152" s="492" t="s">
        <v>481</v>
      </c>
      <c r="K152" s="492" t="s">
        <v>482</v>
      </c>
    </row>
    <row r="153" spans="2:12" ht="15" hidden="1" x14ac:dyDescent="0.35">
      <c r="D153" s="492" t="s">
        <v>483</v>
      </c>
      <c r="H153" s="492" t="s">
        <v>484</v>
      </c>
      <c r="J153" s="492" t="s">
        <v>485</v>
      </c>
      <c r="K153" s="492" t="s">
        <v>486</v>
      </c>
    </row>
    <row r="154" spans="2:12" ht="15" hidden="1" x14ac:dyDescent="0.35">
      <c r="H154" s="492" t="s">
        <v>487</v>
      </c>
      <c r="J154" s="492" t="s">
        <v>488</v>
      </c>
    </row>
    <row r="155" spans="2:12" ht="60" hidden="1" x14ac:dyDescent="0.35">
      <c r="D155" s="604" t="s">
        <v>489</v>
      </c>
      <c r="E155" s="492" t="s">
        <v>490</v>
      </c>
      <c r="F155" s="492" t="s">
        <v>491</v>
      </c>
      <c r="G155" s="492" t="s">
        <v>492</v>
      </c>
      <c r="H155" s="492" t="s">
        <v>493</v>
      </c>
      <c r="I155" s="492" t="s">
        <v>494</v>
      </c>
      <c r="J155" s="492" t="s">
        <v>495</v>
      </c>
      <c r="K155" s="492" t="s">
        <v>496</v>
      </c>
    </row>
    <row r="156" spans="2:12" ht="75" hidden="1" x14ac:dyDescent="0.35">
      <c r="B156" s="492" t="s">
        <v>595</v>
      </c>
      <c r="C156" s="492" t="s">
        <v>594</v>
      </c>
      <c r="D156" s="604" t="s">
        <v>497</v>
      </c>
      <c r="E156" s="492" t="s">
        <v>498</v>
      </c>
      <c r="F156" s="492" t="s">
        <v>499</v>
      </c>
      <c r="G156" s="492" t="s">
        <v>500</v>
      </c>
      <c r="H156" s="492" t="s">
        <v>501</v>
      </c>
      <c r="I156" s="492" t="s">
        <v>502</v>
      </c>
      <c r="J156" s="492" t="s">
        <v>503</v>
      </c>
      <c r="K156" s="492" t="s">
        <v>504</v>
      </c>
    </row>
    <row r="157" spans="2:12" ht="45" hidden="1" x14ac:dyDescent="0.35">
      <c r="B157" s="492" t="s">
        <v>596</v>
      </c>
      <c r="C157" s="492" t="s">
        <v>593</v>
      </c>
      <c r="D157" s="604" t="s">
        <v>505</v>
      </c>
      <c r="E157" s="492" t="s">
        <v>506</v>
      </c>
      <c r="F157" s="492" t="s">
        <v>507</v>
      </c>
      <c r="G157" s="492" t="s">
        <v>508</v>
      </c>
      <c r="H157" s="492" t="s">
        <v>509</v>
      </c>
      <c r="I157" s="492" t="s">
        <v>510</v>
      </c>
      <c r="J157" s="492" t="s">
        <v>511</v>
      </c>
      <c r="K157" s="492" t="s">
        <v>512</v>
      </c>
    </row>
    <row r="158" spans="2:12" ht="15" hidden="1" x14ac:dyDescent="0.35">
      <c r="B158" s="492" t="s">
        <v>597</v>
      </c>
      <c r="C158" s="492" t="s">
        <v>592</v>
      </c>
      <c r="F158" s="492" t="s">
        <v>513</v>
      </c>
      <c r="G158" s="492" t="s">
        <v>514</v>
      </c>
      <c r="H158" s="492" t="s">
        <v>515</v>
      </c>
      <c r="I158" s="492" t="s">
        <v>516</v>
      </c>
      <c r="J158" s="492" t="s">
        <v>517</v>
      </c>
      <c r="K158" s="492" t="s">
        <v>518</v>
      </c>
    </row>
    <row r="159" spans="2:12" ht="15" hidden="1" x14ac:dyDescent="0.35">
      <c r="B159" s="492" t="s">
        <v>598</v>
      </c>
      <c r="G159" s="492" t="s">
        <v>519</v>
      </c>
      <c r="H159" s="492" t="s">
        <v>520</v>
      </c>
      <c r="I159" s="492" t="s">
        <v>521</v>
      </c>
      <c r="J159" s="492" t="s">
        <v>522</v>
      </c>
      <c r="K159" s="492" t="s">
        <v>523</v>
      </c>
    </row>
    <row r="160" spans="2:12" ht="15" hidden="1" x14ac:dyDescent="0.35">
      <c r="C160" s="492" t="s">
        <v>524</v>
      </c>
      <c r="J160" s="492" t="s">
        <v>525</v>
      </c>
    </row>
    <row r="161" spans="2:10" ht="15" hidden="1" x14ac:dyDescent="0.35">
      <c r="C161" s="492" t="s">
        <v>526</v>
      </c>
      <c r="I161" s="492" t="s">
        <v>527</v>
      </c>
      <c r="J161" s="492" t="s">
        <v>528</v>
      </c>
    </row>
    <row r="162" spans="2:10" ht="15" hidden="1" x14ac:dyDescent="0.35">
      <c r="B162" s="283" t="s">
        <v>599</v>
      </c>
      <c r="C162" s="492" t="s">
        <v>529</v>
      </c>
      <c r="I162" s="492" t="s">
        <v>530</v>
      </c>
      <c r="J162" s="492" t="s">
        <v>531</v>
      </c>
    </row>
    <row r="163" spans="2:10" ht="15" hidden="1" x14ac:dyDescent="0.35">
      <c r="B163" s="283" t="s">
        <v>29</v>
      </c>
      <c r="C163" s="492" t="s">
        <v>532</v>
      </c>
      <c r="D163" s="492" t="s">
        <v>533</v>
      </c>
      <c r="E163" s="492" t="s">
        <v>534</v>
      </c>
      <c r="I163" s="492" t="s">
        <v>535</v>
      </c>
      <c r="J163" s="492" t="s">
        <v>285</v>
      </c>
    </row>
    <row r="164" spans="2:10" ht="15" hidden="1" x14ac:dyDescent="0.35">
      <c r="B164" s="283" t="s">
        <v>16</v>
      </c>
      <c r="D164" s="492" t="s">
        <v>536</v>
      </c>
      <c r="E164" s="492" t="s">
        <v>537</v>
      </c>
      <c r="H164" s="492" t="s">
        <v>411</v>
      </c>
      <c r="I164" s="492" t="s">
        <v>538</v>
      </c>
    </row>
    <row r="165" spans="2:10" ht="15" hidden="1" x14ac:dyDescent="0.35">
      <c r="B165" s="283" t="s">
        <v>34</v>
      </c>
      <c r="D165" s="492" t="s">
        <v>539</v>
      </c>
      <c r="E165" s="492" t="s">
        <v>1011</v>
      </c>
      <c r="H165" s="492" t="s">
        <v>419</v>
      </c>
      <c r="I165" s="492" t="s">
        <v>540</v>
      </c>
      <c r="J165" s="492" t="s">
        <v>1010</v>
      </c>
    </row>
    <row r="166" spans="2:10" ht="15" hidden="1" x14ac:dyDescent="0.35">
      <c r="B166" s="283" t="s">
        <v>600</v>
      </c>
      <c r="C166" s="492" t="s">
        <v>541</v>
      </c>
      <c r="D166" s="492" t="s">
        <v>542</v>
      </c>
      <c r="H166" s="492" t="s">
        <v>425</v>
      </c>
      <c r="I166" s="492" t="s">
        <v>543</v>
      </c>
      <c r="J166" s="492" t="s">
        <v>1018</v>
      </c>
    </row>
    <row r="167" spans="2:10" ht="15" hidden="1" x14ac:dyDescent="0.35">
      <c r="B167" s="283" t="s">
        <v>601</v>
      </c>
      <c r="C167" s="492" t="s">
        <v>544</v>
      </c>
      <c r="H167" s="492" t="s">
        <v>432</v>
      </c>
      <c r="I167" s="492" t="s">
        <v>545</v>
      </c>
    </row>
    <row r="168" spans="2:10" ht="15" hidden="1" x14ac:dyDescent="0.35">
      <c r="B168" s="283" t="s">
        <v>602</v>
      </c>
      <c r="C168" s="492" t="s">
        <v>546</v>
      </c>
      <c r="E168" s="492" t="s">
        <v>547</v>
      </c>
      <c r="H168" s="492" t="s">
        <v>548</v>
      </c>
      <c r="I168" s="492" t="s">
        <v>549</v>
      </c>
    </row>
    <row r="169" spans="2:10" ht="15" hidden="1" x14ac:dyDescent="0.35">
      <c r="B169" s="283" t="s">
        <v>603</v>
      </c>
      <c r="C169" s="492" t="s">
        <v>550</v>
      </c>
      <c r="E169" s="492" t="s">
        <v>551</v>
      </c>
      <c r="H169" s="492" t="s">
        <v>552</v>
      </c>
      <c r="I169" s="492" t="s">
        <v>553</v>
      </c>
    </row>
    <row r="170" spans="2:10" ht="15" hidden="1" x14ac:dyDescent="0.35">
      <c r="B170" s="283" t="s">
        <v>604</v>
      </c>
      <c r="C170" s="492" t="s">
        <v>554</v>
      </c>
      <c r="E170" s="492" t="s">
        <v>555</v>
      </c>
      <c r="H170" s="492" t="s">
        <v>556</v>
      </c>
      <c r="I170" s="492" t="s">
        <v>557</v>
      </c>
    </row>
    <row r="171" spans="2:10" ht="15" hidden="1" x14ac:dyDescent="0.35">
      <c r="B171" s="283" t="s">
        <v>605</v>
      </c>
      <c r="C171" s="492" t="s">
        <v>558</v>
      </c>
      <c r="E171" s="492" t="s">
        <v>559</v>
      </c>
      <c r="H171" s="492" t="s">
        <v>560</v>
      </c>
      <c r="I171" s="492" t="s">
        <v>561</v>
      </c>
    </row>
    <row r="172" spans="2:10" ht="15" hidden="1" x14ac:dyDescent="0.35">
      <c r="B172" s="283" t="s">
        <v>606</v>
      </c>
      <c r="C172" s="492" t="s">
        <v>562</v>
      </c>
      <c r="E172" s="492" t="s">
        <v>563</v>
      </c>
      <c r="H172" s="492" t="s">
        <v>564</v>
      </c>
      <c r="I172" s="492" t="s">
        <v>565</v>
      </c>
    </row>
    <row r="173" spans="2:10" ht="15" hidden="1" x14ac:dyDescent="0.35">
      <c r="B173" s="283" t="s">
        <v>607</v>
      </c>
      <c r="C173" s="492" t="s">
        <v>285</v>
      </c>
      <c r="E173" s="492" t="s">
        <v>566</v>
      </c>
      <c r="H173" s="492" t="s">
        <v>567</v>
      </c>
      <c r="I173" s="492" t="s">
        <v>568</v>
      </c>
    </row>
    <row r="174" spans="2:10" ht="15" hidden="1" x14ac:dyDescent="0.35">
      <c r="B174" s="283" t="s">
        <v>608</v>
      </c>
      <c r="E174" s="492" t="s">
        <v>569</v>
      </c>
      <c r="H174" s="492" t="s">
        <v>570</v>
      </c>
      <c r="I174" s="492" t="s">
        <v>571</v>
      </c>
    </row>
    <row r="175" spans="2:10" ht="15" hidden="1" x14ac:dyDescent="0.35">
      <c r="B175" s="283" t="s">
        <v>609</v>
      </c>
      <c r="E175" s="492" t="s">
        <v>572</v>
      </c>
      <c r="H175" s="492" t="s">
        <v>573</v>
      </c>
      <c r="I175" s="492" t="s">
        <v>574</v>
      </c>
    </row>
    <row r="176" spans="2:10" ht="15" hidden="1" x14ac:dyDescent="0.35">
      <c r="B176" s="283" t="s">
        <v>610</v>
      </c>
      <c r="E176" s="492" t="s">
        <v>575</v>
      </c>
      <c r="H176" s="492" t="s">
        <v>576</v>
      </c>
      <c r="I176" s="492" t="s">
        <v>577</v>
      </c>
    </row>
    <row r="177" spans="2:9" ht="15" hidden="1" x14ac:dyDescent="0.35">
      <c r="B177" s="283" t="s">
        <v>611</v>
      </c>
      <c r="H177" s="492" t="s">
        <v>578</v>
      </c>
      <c r="I177" s="492" t="s">
        <v>579</v>
      </c>
    </row>
    <row r="178" spans="2:9" ht="15" hidden="1" x14ac:dyDescent="0.35">
      <c r="B178" s="283" t="s">
        <v>612</v>
      </c>
      <c r="H178" s="492" t="s">
        <v>580</v>
      </c>
    </row>
    <row r="179" spans="2:9" ht="15" hidden="1" x14ac:dyDescent="0.35">
      <c r="B179" s="283" t="s">
        <v>613</v>
      </c>
      <c r="H179" s="492" t="s">
        <v>581</v>
      </c>
    </row>
    <row r="180" spans="2:9" ht="15" hidden="1" x14ac:dyDescent="0.35">
      <c r="B180" s="283" t="s">
        <v>614</v>
      </c>
      <c r="H180" s="492" t="s">
        <v>582</v>
      </c>
    </row>
    <row r="181" spans="2:9" ht="15" hidden="1" x14ac:dyDescent="0.35">
      <c r="B181" s="283" t="s">
        <v>615</v>
      </c>
      <c r="H181" s="492" t="s">
        <v>583</v>
      </c>
    </row>
    <row r="182" spans="2:9" ht="15" hidden="1" x14ac:dyDescent="0.35">
      <c r="B182" s="283" t="s">
        <v>616</v>
      </c>
      <c r="D182" s="3" t="s">
        <v>584</v>
      </c>
      <c r="H182" s="492" t="s">
        <v>585</v>
      </c>
    </row>
    <row r="183" spans="2:9" ht="15" hidden="1" x14ac:dyDescent="0.35">
      <c r="B183" s="283" t="s">
        <v>617</v>
      </c>
      <c r="D183" s="3" t="s">
        <v>586</v>
      </c>
      <c r="H183" s="492" t="s">
        <v>587</v>
      </c>
    </row>
    <row r="184" spans="2:9" ht="15" hidden="1" x14ac:dyDescent="0.35">
      <c r="B184" s="283" t="s">
        <v>618</v>
      </c>
      <c r="D184" s="3" t="s">
        <v>588</v>
      </c>
      <c r="H184" s="492" t="s">
        <v>589</v>
      </c>
    </row>
    <row r="185" spans="2:9" ht="15" hidden="1" x14ac:dyDescent="0.35">
      <c r="B185" s="283" t="s">
        <v>619</v>
      </c>
      <c r="D185" s="3" t="s">
        <v>586</v>
      </c>
      <c r="H185" s="492" t="s">
        <v>590</v>
      </c>
    </row>
    <row r="186" spans="2:9" ht="15" hidden="1" x14ac:dyDescent="0.35">
      <c r="B186" s="283" t="s">
        <v>620</v>
      </c>
      <c r="D186" s="3" t="s">
        <v>591</v>
      </c>
    </row>
    <row r="187" spans="2:9" ht="15" hidden="1" x14ac:dyDescent="0.35">
      <c r="B187" s="283" t="s">
        <v>621</v>
      </c>
      <c r="D187" s="3" t="s">
        <v>586</v>
      </c>
    </row>
    <row r="188" spans="2:9" ht="15" hidden="1" x14ac:dyDescent="0.35">
      <c r="B188" s="283" t="s">
        <v>622</v>
      </c>
    </row>
    <row r="189" spans="2:9" ht="15" hidden="1" x14ac:dyDescent="0.35">
      <c r="B189" s="283" t="s">
        <v>623</v>
      </c>
    </row>
    <row r="190" spans="2:9" ht="15" hidden="1" x14ac:dyDescent="0.35">
      <c r="B190" s="283" t="s">
        <v>624</v>
      </c>
    </row>
    <row r="191" spans="2:9" ht="15" hidden="1" x14ac:dyDescent="0.35">
      <c r="B191" s="283" t="s">
        <v>625</v>
      </c>
    </row>
    <row r="192" spans="2:9" ht="15" hidden="1" x14ac:dyDescent="0.35">
      <c r="B192" s="283" t="s">
        <v>626</v>
      </c>
    </row>
    <row r="193" spans="2:2" ht="15" hidden="1" x14ac:dyDescent="0.35">
      <c r="B193" s="283" t="s">
        <v>627</v>
      </c>
    </row>
    <row r="194" spans="2:2" ht="15" hidden="1" x14ac:dyDescent="0.35">
      <c r="B194" s="283" t="s">
        <v>628</v>
      </c>
    </row>
    <row r="195" spans="2:2" ht="15" hidden="1" x14ac:dyDescent="0.35">
      <c r="B195" s="283" t="s">
        <v>629</v>
      </c>
    </row>
    <row r="196" spans="2:2" ht="15" hidden="1" x14ac:dyDescent="0.35">
      <c r="B196" s="283" t="s">
        <v>630</v>
      </c>
    </row>
    <row r="197" spans="2:2" ht="15" hidden="1" x14ac:dyDescent="0.35">
      <c r="B197" s="283" t="s">
        <v>51</v>
      </c>
    </row>
    <row r="198" spans="2:2" ht="15" hidden="1" x14ac:dyDescent="0.35">
      <c r="B198" s="283" t="s">
        <v>57</v>
      </c>
    </row>
    <row r="199" spans="2:2" ht="15" hidden="1" x14ac:dyDescent="0.35">
      <c r="B199" s="283" t="s">
        <v>59</v>
      </c>
    </row>
    <row r="200" spans="2:2" ht="15" hidden="1" x14ac:dyDescent="0.35">
      <c r="B200" s="283" t="s">
        <v>61</v>
      </c>
    </row>
    <row r="201" spans="2:2" ht="15" hidden="1" x14ac:dyDescent="0.35">
      <c r="B201" s="283" t="s">
        <v>23</v>
      </c>
    </row>
    <row r="202" spans="2:2" ht="15" hidden="1" x14ac:dyDescent="0.35">
      <c r="B202" s="283" t="s">
        <v>63</v>
      </c>
    </row>
    <row r="203" spans="2:2" ht="15" hidden="1" x14ac:dyDescent="0.35">
      <c r="B203" s="283" t="s">
        <v>65</v>
      </c>
    </row>
    <row r="204" spans="2:2" ht="15" hidden="1" x14ac:dyDescent="0.35">
      <c r="B204" s="283" t="s">
        <v>68</v>
      </c>
    </row>
    <row r="205" spans="2:2" ht="15" hidden="1" x14ac:dyDescent="0.35">
      <c r="B205" s="283" t="s">
        <v>69</v>
      </c>
    </row>
    <row r="206" spans="2:2" ht="15" hidden="1" x14ac:dyDescent="0.35">
      <c r="B206" s="283" t="s">
        <v>70</v>
      </c>
    </row>
    <row r="207" spans="2:2" ht="15" hidden="1" x14ac:dyDescent="0.35">
      <c r="B207" s="283" t="s">
        <v>71</v>
      </c>
    </row>
    <row r="208" spans="2:2" ht="15" hidden="1" x14ac:dyDescent="0.35">
      <c r="B208" s="283" t="s">
        <v>631</v>
      </c>
    </row>
    <row r="209" spans="2:2" ht="15" hidden="1" x14ac:dyDescent="0.35">
      <c r="B209" s="283" t="s">
        <v>632</v>
      </c>
    </row>
    <row r="210" spans="2:2" ht="15" hidden="1" x14ac:dyDescent="0.35">
      <c r="B210" s="283" t="s">
        <v>75</v>
      </c>
    </row>
    <row r="211" spans="2:2" ht="15" hidden="1" x14ac:dyDescent="0.35">
      <c r="B211" s="283" t="s">
        <v>77</v>
      </c>
    </row>
    <row r="212" spans="2:2" ht="15" hidden="1" x14ac:dyDescent="0.35">
      <c r="B212" s="283" t="s">
        <v>81</v>
      </c>
    </row>
    <row r="213" spans="2:2" ht="15" hidden="1" x14ac:dyDescent="0.35">
      <c r="B213" s="283" t="s">
        <v>633</v>
      </c>
    </row>
    <row r="214" spans="2:2" ht="15" hidden="1" x14ac:dyDescent="0.35">
      <c r="B214" s="283" t="s">
        <v>634</v>
      </c>
    </row>
    <row r="215" spans="2:2" ht="15" hidden="1" x14ac:dyDescent="0.35">
      <c r="B215" s="283" t="s">
        <v>635</v>
      </c>
    </row>
    <row r="216" spans="2:2" ht="15" hidden="1" x14ac:dyDescent="0.35">
      <c r="B216" s="283" t="s">
        <v>79</v>
      </c>
    </row>
    <row r="217" spans="2:2" ht="15" hidden="1" x14ac:dyDescent="0.35">
      <c r="B217" s="283" t="s">
        <v>80</v>
      </c>
    </row>
    <row r="218" spans="2:2" ht="15" hidden="1" x14ac:dyDescent="0.35">
      <c r="B218" s="283" t="s">
        <v>83</v>
      </c>
    </row>
    <row r="219" spans="2:2" ht="15" hidden="1" x14ac:dyDescent="0.35">
      <c r="B219" s="283" t="s">
        <v>85</v>
      </c>
    </row>
    <row r="220" spans="2:2" ht="15" hidden="1" x14ac:dyDescent="0.35">
      <c r="B220" s="283" t="s">
        <v>636</v>
      </c>
    </row>
    <row r="221" spans="2:2" ht="15" hidden="1" x14ac:dyDescent="0.35">
      <c r="B221" s="283" t="s">
        <v>84</v>
      </c>
    </row>
    <row r="222" spans="2:2" ht="15" hidden="1" x14ac:dyDescent="0.35">
      <c r="B222" s="283" t="s">
        <v>86</v>
      </c>
    </row>
    <row r="223" spans="2:2" ht="15" hidden="1" x14ac:dyDescent="0.35">
      <c r="B223" s="283" t="s">
        <v>89</v>
      </c>
    </row>
    <row r="224" spans="2:2" ht="15" hidden="1" x14ac:dyDescent="0.35">
      <c r="B224" s="283" t="s">
        <v>88</v>
      </c>
    </row>
    <row r="225" spans="2:2" ht="15" hidden="1" x14ac:dyDescent="0.35">
      <c r="B225" s="283" t="s">
        <v>637</v>
      </c>
    </row>
    <row r="226" spans="2:2" ht="15" hidden="1" x14ac:dyDescent="0.35">
      <c r="B226" s="283" t="s">
        <v>95</v>
      </c>
    </row>
    <row r="227" spans="2:2" ht="15" hidden="1" x14ac:dyDescent="0.35">
      <c r="B227" s="283" t="s">
        <v>97</v>
      </c>
    </row>
    <row r="228" spans="2:2" ht="15" hidden="1" x14ac:dyDescent="0.35">
      <c r="B228" s="283" t="s">
        <v>98</v>
      </c>
    </row>
    <row r="229" spans="2:2" ht="15" hidden="1" x14ac:dyDescent="0.35">
      <c r="B229" s="283" t="s">
        <v>99</v>
      </c>
    </row>
    <row r="230" spans="2:2" ht="15" hidden="1" x14ac:dyDescent="0.35">
      <c r="B230" s="283" t="s">
        <v>638</v>
      </c>
    </row>
    <row r="231" spans="2:2" ht="15" hidden="1" x14ac:dyDescent="0.35">
      <c r="B231" s="283" t="s">
        <v>639</v>
      </c>
    </row>
    <row r="232" spans="2:2" ht="15" hidden="1" x14ac:dyDescent="0.35">
      <c r="B232" s="283" t="s">
        <v>100</v>
      </c>
    </row>
    <row r="233" spans="2:2" ht="15" hidden="1" x14ac:dyDescent="0.35">
      <c r="B233" s="283" t="s">
        <v>154</v>
      </c>
    </row>
    <row r="234" spans="2:2" ht="15" hidden="1" x14ac:dyDescent="0.35">
      <c r="B234" s="283" t="s">
        <v>640</v>
      </c>
    </row>
    <row r="235" spans="2:2" ht="30" hidden="1" x14ac:dyDescent="0.35">
      <c r="B235" s="283" t="s">
        <v>641</v>
      </c>
    </row>
    <row r="236" spans="2:2" ht="15" hidden="1" x14ac:dyDescent="0.35">
      <c r="B236" s="283" t="s">
        <v>105</v>
      </c>
    </row>
    <row r="237" spans="2:2" ht="15" hidden="1" x14ac:dyDescent="0.35">
      <c r="B237" s="283" t="s">
        <v>107</v>
      </c>
    </row>
    <row r="238" spans="2:2" ht="15" hidden="1" x14ac:dyDescent="0.35">
      <c r="B238" s="283" t="s">
        <v>642</v>
      </c>
    </row>
    <row r="239" spans="2:2" ht="15" hidden="1" x14ac:dyDescent="0.35">
      <c r="B239" s="283" t="s">
        <v>155</v>
      </c>
    </row>
    <row r="240" spans="2:2" ht="15" hidden="1" x14ac:dyDescent="0.35">
      <c r="B240" s="283" t="s">
        <v>172</v>
      </c>
    </row>
    <row r="241" spans="2:2" ht="15" hidden="1" x14ac:dyDescent="0.35">
      <c r="B241" s="283" t="s">
        <v>106</v>
      </c>
    </row>
    <row r="242" spans="2:2" ht="15" hidden="1" x14ac:dyDescent="0.35">
      <c r="B242" s="283" t="s">
        <v>110</v>
      </c>
    </row>
    <row r="243" spans="2:2" ht="15" hidden="1" x14ac:dyDescent="0.35">
      <c r="B243" s="283" t="s">
        <v>104</v>
      </c>
    </row>
    <row r="244" spans="2:2" ht="15" hidden="1" x14ac:dyDescent="0.35">
      <c r="B244" s="283" t="s">
        <v>126</v>
      </c>
    </row>
    <row r="245" spans="2:2" ht="15" hidden="1" x14ac:dyDescent="0.35">
      <c r="B245" s="283" t="s">
        <v>643</v>
      </c>
    </row>
    <row r="246" spans="2:2" ht="15" hidden="1" x14ac:dyDescent="0.35">
      <c r="B246" s="283" t="s">
        <v>112</v>
      </c>
    </row>
    <row r="247" spans="2:2" ht="15" hidden="1" x14ac:dyDescent="0.35">
      <c r="B247" s="283" t="s">
        <v>115</v>
      </c>
    </row>
    <row r="248" spans="2:2" ht="15" hidden="1" x14ac:dyDescent="0.35">
      <c r="B248" s="283" t="s">
        <v>121</v>
      </c>
    </row>
    <row r="249" spans="2:2" ht="15" hidden="1" x14ac:dyDescent="0.35">
      <c r="B249" s="283" t="s">
        <v>118</v>
      </c>
    </row>
    <row r="250" spans="2:2" ht="30" hidden="1" x14ac:dyDescent="0.35">
      <c r="B250" s="283" t="s">
        <v>644</v>
      </c>
    </row>
    <row r="251" spans="2:2" ht="15" hidden="1" x14ac:dyDescent="0.35">
      <c r="B251" s="283" t="s">
        <v>116</v>
      </c>
    </row>
    <row r="252" spans="2:2" ht="15" hidden="1" x14ac:dyDescent="0.35">
      <c r="B252" s="283" t="s">
        <v>117</v>
      </c>
    </row>
    <row r="253" spans="2:2" ht="15" hidden="1" x14ac:dyDescent="0.35">
      <c r="B253" s="283" t="s">
        <v>128</v>
      </c>
    </row>
    <row r="254" spans="2:2" ht="15" hidden="1" x14ac:dyDescent="0.35">
      <c r="B254" s="283" t="s">
        <v>125</v>
      </c>
    </row>
    <row r="255" spans="2:2" ht="15" hidden="1" x14ac:dyDescent="0.35">
      <c r="B255" s="283" t="s">
        <v>124</v>
      </c>
    </row>
    <row r="256" spans="2:2" ht="15" hidden="1" x14ac:dyDescent="0.35">
      <c r="B256" s="283" t="s">
        <v>127</v>
      </c>
    </row>
    <row r="257" spans="2:2" ht="15" hidden="1" x14ac:dyDescent="0.35">
      <c r="B257" s="283" t="s">
        <v>119</v>
      </c>
    </row>
    <row r="258" spans="2:2" ht="15" hidden="1" x14ac:dyDescent="0.35">
      <c r="B258" s="283" t="s">
        <v>120</v>
      </c>
    </row>
    <row r="259" spans="2:2" ht="15" hidden="1" x14ac:dyDescent="0.35">
      <c r="B259" s="283" t="s">
        <v>113</v>
      </c>
    </row>
    <row r="260" spans="2:2" ht="15" hidden="1" x14ac:dyDescent="0.35">
      <c r="B260" s="283" t="s">
        <v>114</v>
      </c>
    </row>
    <row r="261" spans="2:2" ht="15" hidden="1" x14ac:dyDescent="0.35">
      <c r="B261" s="283" t="s">
        <v>129</v>
      </c>
    </row>
    <row r="262" spans="2:2" ht="15" hidden="1" x14ac:dyDescent="0.35">
      <c r="B262" s="283" t="s">
        <v>135</v>
      </c>
    </row>
    <row r="263" spans="2:2" ht="15" hidden="1" x14ac:dyDescent="0.35">
      <c r="B263" s="283" t="s">
        <v>136</v>
      </c>
    </row>
    <row r="264" spans="2:2" ht="15" hidden="1" x14ac:dyDescent="0.35">
      <c r="B264" s="283" t="s">
        <v>134</v>
      </c>
    </row>
    <row r="265" spans="2:2" ht="15" hidden="1" x14ac:dyDescent="0.35">
      <c r="B265" s="283" t="s">
        <v>645</v>
      </c>
    </row>
    <row r="266" spans="2:2" ht="15" hidden="1" x14ac:dyDescent="0.35">
      <c r="B266" s="283" t="s">
        <v>131</v>
      </c>
    </row>
    <row r="267" spans="2:2" ht="15" hidden="1" x14ac:dyDescent="0.35">
      <c r="B267" s="283" t="s">
        <v>130</v>
      </c>
    </row>
    <row r="268" spans="2:2" ht="15" hidden="1" x14ac:dyDescent="0.35">
      <c r="B268" s="283" t="s">
        <v>138</v>
      </c>
    </row>
    <row r="269" spans="2:2" ht="15" hidden="1" x14ac:dyDescent="0.35">
      <c r="B269" s="283" t="s">
        <v>139</v>
      </c>
    </row>
    <row r="270" spans="2:2" ht="15" hidden="1" x14ac:dyDescent="0.35">
      <c r="B270" s="283" t="s">
        <v>141</v>
      </c>
    </row>
    <row r="271" spans="2:2" ht="15" hidden="1" x14ac:dyDescent="0.35">
      <c r="B271" s="283" t="s">
        <v>144</v>
      </c>
    </row>
    <row r="272" spans="2:2" ht="15" hidden="1" x14ac:dyDescent="0.35">
      <c r="B272" s="283" t="s">
        <v>145</v>
      </c>
    </row>
    <row r="273" spans="2:2" ht="15" hidden="1" x14ac:dyDescent="0.35">
      <c r="B273" s="283" t="s">
        <v>140</v>
      </c>
    </row>
    <row r="274" spans="2:2" ht="15" hidden="1" x14ac:dyDescent="0.35">
      <c r="B274" s="283" t="s">
        <v>142</v>
      </c>
    </row>
    <row r="275" spans="2:2" ht="15" hidden="1" x14ac:dyDescent="0.35">
      <c r="B275" s="283" t="s">
        <v>146</v>
      </c>
    </row>
    <row r="276" spans="2:2" ht="30" hidden="1" x14ac:dyDescent="0.35">
      <c r="B276" s="283" t="s">
        <v>646</v>
      </c>
    </row>
    <row r="277" spans="2:2" ht="15" hidden="1" x14ac:dyDescent="0.35">
      <c r="B277" s="283" t="s">
        <v>143</v>
      </c>
    </row>
    <row r="278" spans="2:2" ht="15" hidden="1" x14ac:dyDescent="0.35">
      <c r="B278" s="283" t="s">
        <v>151</v>
      </c>
    </row>
    <row r="279" spans="2:2" ht="15" hidden="1" x14ac:dyDescent="0.35">
      <c r="B279" s="283" t="s">
        <v>152</v>
      </c>
    </row>
    <row r="280" spans="2:2" ht="15" hidden="1" x14ac:dyDescent="0.35">
      <c r="B280" s="283" t="s">
        <v>153</v>
      </c>
    </row>
    <row r="281" spans="2:2" ht="15" hidden="1" x14ac:dyDescent="0.35">
      <c r="B281" s="283" t="s">
        <v>160</v>
      </c>
    </row>
    <row r="282" spans="2:2" ht="15" hidden="1" x14ac:dyDescent="0.35">
      <c r="B282" s="283" t="s">
        <v>173</v>
      </c>
    </row>
    <row r="283" spans="2:2" ht="15" hidden="1" x14ac:dyDescent="0.35">
      <c r="B283" s="283" t="s">
        <v>161</v>
      </c>
    </row>
    <row r="284" spans="2:2" ht="15" hidden="1" x14ac:dyDescent="0.35">
      <c r="B284" s="283" t="s">
        <v>168</v>
      </c>
    </row>
    <row r="285" spans="2:2" ht="15" hidden="1" x14ac:dyDescent="0.35">
      <c r="B285" s="283" t="s">
        <v>164</v>
      </c>
    </row>
    <row r="286" spans="2:2" ht="15" hidden="1" x14ac:dyDescent="0.35">
      <c r="B286" s="283" t="s">
        <v>66</v>
      </c>
    </row>
    <row r="287" spans="2:2" ht="15" hidden="1" x14ac:dyDescent="0.35">
      <c r="B287" s="283" t="s">
        <v>158</v>
      </c>
    </row>
    <row r="288" spans="2:2" ht="15" hidden="1" x14ac:dyDescent="0.35">
      <c r="B288" s="283" t="s">
        <v>162</v>
      </c>
    </row>
    <row r="289" spans="2:2" ht="15" hidden="1" x14ac:dyDescent="0.35">
      <c r="B289" s="283" t="s">
        <v>159</v>
      </c>
    </row>
    <row r="290" spans="2:2" ht="15" hidden="1" x14ac:dyDescent="0.35">
      <c r="B290" s="283" t="s">
        <v>174</v>
      </c>
    </row>
    <row r="291" spans="2:2" ht="15" hidden="1" x14ac:dyDescent="0.35">
      <c r="B291" s="283" t="s">
        <v>647</v>
      </c>
    </row>
    <row r="292" spans="2:2" ht="15" hidden="1" x14ac:dyDescent="0.35">
      <c r="B292" s="283" t="s">
        <v>167</v>
      </c>
    </row>
    <row r="293" spans="2:2" ht="15" hidden="1" x14ac:dyDescent="0.35">
      <c r="B293" s="283" t="s">
        <v>175</v>
      </c>
    </row>
    <row r="294" spans="2:2" ht="15" hidden="1" x14ac:dyDescent="0.35">
      <c r="B294" s="283" t="s">
        <v>163</v>
      </c>
    </row>
    <row r="295" spans="2:2" ht="15" hidden="1" x14ac:dyDescent="0.35">
      <c r="B295" s="283" t="s">
        <v>178</v>
      </c>
    </row>
    <row r="296" spans="2:2" ht="15" hidden="1" x14ac:dyDescent="0.35">
      <c r="B296" s="283" t="s">
        <v>648</v>
      </c>
    </row>
    <row r="297" spans="2:2" ht="15" hidden="1" x14ac:dyDescent="0.35">
      <c r="B297" s="283" t="s">
        <v>183</v>
      </c>
    </row>
    <row r="298" spans="2:2" ht="15" hidden="1" x14ac:dyDescent="0.35">
      <c r="B298" s="283" t="s">
        <v>180</v>
      </c>
    </row>
    <row r="299" spans="2:2" ht="15" hidden="1" x14ac:dyDescent="0.35">
      <c r="B299" s="283" t="s">
        <v>179</v>
      </c>
    </row>
    <row r="300" spans="2:2" ht="15" hidden="1" x14ac:dyDescent="0.35">
      <c r="B300" s="283" t="s">
        <v>188</v>
      </c>
    </row>
    <row r="301" spans="2:2" ht="15" hidden="1" x14ac:dyDescent="0.35">
      <c r="B301" s="283" t="s">
        <v>184</v>
      </c>
    </row>
    <row r="302" spans="2:2" ht="15" hidden="1" x14ac:dyDescent="0.35">
      <c r="B302" s="283" t="s">
        <v>185</v>
      </c>
    </row>
    <row r="303" spans="2:2" ht="15" hidden="1" x14ac:dyDescent="0.35">
      <c r="B303" s="283" t="s">
        <v>186</v>
      </c>
    </row>
    <row r="304" spans="2:2" ht="15" hidden="1" x14ac:dyDescent="0.35">
      <c r="B304" s="283" t="s">
        <v>187</v>
      </c>
    </row>
    <row r="305" spans="2:2" ht="15" hidden="1" x14ac:dyDescent="0.35">
      <c r="B305" s="283" t="s">
        <v>189</v>
      </c>
    </row>
    <row r="306" spans="2:2" ht="15" hidden="1" x14ac:dyDescent="0.35">
      <c r="B306" s="283" t="s">
        <v>649</v>
      </c>
    </row>
    <row r="307" spans="2:2" ht="15" hidden="1" x14ac:dyDescent="0.35">
      <c r="B307" s="283" t="s">
        <v>190</v>
      </c>
    </row>
    <row r="308" spans="2:2" ht="15" hidden="1" x14ac:dyDescent="0.35">
      <c r="B308" s="283" t="s">
        <v>191</v>
      </c>
    </row>
    <row r="309" spans="2:2" ht="15" hidden="1" x14ac:dyDescent="0.35">
      <c r="B309" s="283" t="s">
        <v>196</v>
      </c>
    </row>
    <row r="310" spans="2:2" ht="15" hidden="1" x14ac:dyDescent="0.35">
      <c r="B310" s="283" t="s">
        <v>197</v>
      </c>
    </row>
    <row r="311" spans="2:2" ht="30" hidden="1" x14ac:dyDescent="0.35">
      <c r="B311" s="283" t="s">
        <v>156</v>
      </c>
    </row>
    <row r="312" spans="2:2" ht="15" hidden="1" x14ac:dyDescent="0.35">
      <c r="B312" s="283" t="s">
        <v>650</v>
      </c>
    </row>
    <row r="313" spans="2:2" ht="15" hidden="1" x14ac:dyDescent="0.35">
      <c r="B313" s="283" t="s">
        <v>651</v>
      </c>
    </row>
    <row r="314" spans="2:2" ht="15" hidden="1" x14ac:dyDescent="0.35">
      <c r="B314" s="283" t="s">
        <v>198</v>
      </c>
    </row>
    <row r="315" spans="2:2" ht="15" hidden="1" x14ac:dyDescent="0.35">
      <c r="B315" s="283" t="s">
        <v>157</v>
      </c>
    </row>
    <row r="316" spans="2:2" ht="15" hidden="1" x14ac:dyDescent="0.35">
      <c r="B316" s="283" t="s">
        <v>652</v>
      </c>
    </row>
    <row r="317" spans="2:2" ht="15" hidden="1" x14ac:dyDescent="0.35">
      <c r="B317" s="283" t="s">
        <v>170</v>
      </c>
    </row>
    <row r="318" spans="2:2" ht="15" hidden="1" x14ac:dyDescent="0.35">
      <c r="B318" s="283" t="s">
        <v>202</v>
      </c>
    </row>
    <row r="319" spans="2:2" ht="15" hidden="1" x14ac:dyDescent="0.35">
      <c r="B319" s="283" t="s">
        <v>203</v>
      </c>
    </row>
    <row r="320" spans="2:2" ht="15" hidden="1" x14ac:dyDescent="0.35">
      <c r="B320" s="283" t="s">
        <v>182</v>
      </c>
    </row>
    <row r="321" ht="15" hidden="1" x14ac:dyDescent="0.3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700-000000000000}">
      <formula1>$H$164:$H$185</formula1>
    </dataValidation>
    <dataValidation type="list" allowBlank="1" showInputMessage="1" showErrorMessage="1" prompt="Select type of assets" sqref="E113 Q113 M113 I113" xr:uid="{00000000-0002-0000-0700-000001000000}">
      <formula1>$L$140:$L$146</formula1>
    </dataValidation>
    <dataValidation type="whole" allowBlank="1" showInputMessage="1" showErrorMessage="1" error="Please enter a number here" prompt="Enter No. of development strategies" sqref="D129 H129 L129 P129" xr:uid="{00000000-0002-0000-0700-000002000000}">
      <formula1>0</formula1>
      <formula2>999999999</formula2>
    </dataValidation>
    <dataValidation type="whole" allowBlank="1" showInputMessage="1" showErrorMessage="1" error="Please enter a number" prompt="Enter No. of policy introduced or adjusted" sqref="D127 H127 L127 P127"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7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7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700-000010000000}">
      <formula1>$K$139:$K$153</formula1>
    </dataValidation>
    <dataValidation type="list" allowBlank="1" showInputMessage="1" showErrorMessage="1" prompt="Please select the alternate source" sqref="G111 S111 S109 S107 S105 O109 O107 O105 K109 K107 K105 G109 G107 K111 G105 O111" xr:uid="{00000000-0002-0000-0700-000011000000}">
      <formula1>$K$139:$K$153</formula1>
    </dataValidation>
    <dataValidation type="list" allowBlank="1" showInputMessage="1" showErrorMessage="1" prompt="Select % increase in income level" sqref="F111 R111 R109 R107 R105 N109 N107 N105 J109 J107 J105 F109 F107 J111 F105 N111" xr:uid="{00000000-0002-0000-07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7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700-000014000000}">
      <formula1>$C$160:$C$163</formula1>
    </dataValidation>
    <dataValidation type="list" allowBlank="1" showInputMessage="1" showErrorMessage="1" prompt="Select targeted asset" sqref="E71:E76 I71:I76 M71:M76 Q71:Q76" xr:uid="{00000000-0002-0000-07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700-000016000000}">
      <formula1>$D$163:$D$166</formula1>
    </dataValidation>
    <dataValidation type="list" allowBlank="1" showInputMessage="1" showErrorMessage="1" prompt="Select status" sqref="O38 S38 S36 S34 S32 S30 O36 O34 O32 O30 K36 K34 K32 K30 G38 G34 G32 G30 G36 K38" xr:uid="{00000000-0002-0000-0700-000017000000}">
      <formula1>$E$163:$E$165</formula1>
    </dataValidation>
    <dataValidation type="list" allowBlank="1" showInputMessage="1" showErrorMessage="1" sqref="E142:E143" xr:uid="{00000000-0002-0000-0700-000018000000}">
      <formula1>$D$16:$D$18</formula1>
    </dataValidation>
    <dataValidation type="list" allowBlank="1" showInputMessage="1" showErrorMessage="1" prompt="Select effectiveness" sqref="G129 S129 O129 K129" xr:uid="{00000000-0002-0000-0700-000019000000}">
      <formula1>$K$155:$K$159</formula1>
    </dataValidation>
    <dataValidation type="list" allowBlank="1" showInputMessage="1" showErrorMessage="1" prompt="Select a sector" sqref="F63:G63 R63:S63 N63:O63 J63:K63" xr:uid="{00000000-0002-0000-07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P63:Q63 Q28 E57 Q57 I65 M65 Q65 Q103 M111 I111 M103 I103 E111 Q55 D63:E63 E105 E107 E109 I105 I107 I109 M105 M107 M109 Q105 Q107 Q109 Q111 H63:I63 L63:M63 I57" xr:uid="{00000000-0002-0000-0700-00001D000000}">
      <formula1>0</formula1>
      <formula2>100</formula2>
    </dataValidation>
    <dataValidation type="list" allowBlank="1" showInputMessage="1" showErrorMessage="1" prompt="Select type of policy" sqref="S127 K127 O127" xr:uid="{00000000-0002-0000-0700-00001E000000}">
      <formula1>policy</formula1>
    </dataValidation>
    <dataValidation type="list" allowBlank="1" showInputMessage="1" showErrorMessage="1" prompt="Select income source" sqref="Q115 Q119 Q121 Q117" xr:uid="{00000000-0002-0000-0700-00001F000000}">
      <formula1>incomesource</formula1>
    </dataValidation>
    <dataValidation type="list" allowBlank="1" showInputMessage="1" showErrorMessage="1" prompt="Select the effectiveness of protection/rehabilitation" sqref="S98 S92 S95 S89" xr:uid="{00000000-0002-0000-0700-000020000000}">
      <formula1>effectiveness</formula1>
    </dataValidation>
    <dataValidation type="list" allowBlank="1" showInputMessage="1" showErrorMessage="1" prompt="Select programme/sector" sqref="F87 R87 N87 J87" xr:uid="{00000000-0002-0000-0700-000021000000}">
      <formula1>$J$146:$J$154</formula1>
    </dataValidation>
    <dataValidation type="list" allowBlank="1" showInputMessage="1" showErrorMessage="1" prompt="Select level of improvements" sqref="I87 M87 Q87" xr:uid="{00000000-0002-0000-0700-000022000000}">
      <formula1>effectiveness</formula1>
    </dataValidation>
    <dataValidation type="list" allowBlank="1" showInputMessage="1" showErrorMessage="1" prompt="Select changes in asset" sqref="F71:G76 R71:S76 N71:O76 J71:K76" xr:uid="{00000000-0002-0000-0700-000023000000}">
      <formula1>$I$155:$I$159</formula1>
    </dataValidation>
    <dataValidation type="list" allowBlank="1" showInputMessage="1" showErrorMessage="1" prompt="Select response level" sqref="F69 R69 N69 J69" xr:uid="{00000000-0002-0000-0700-000024000000}">
      <formula1>$H$155:$H$159</formula1>
    </dataValidation>
    <dataValidation type="list" allowBlank="1" showInputMessage="1" showErrorMessage="1" prompt="Select geographical scale" sqref="E69 Q69 M69 I69" xr:uid="{00000000-0002-0000-07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700-000026000000}">
      <formula1>$J$146:$J$154</formula1>
    </dataValidation>
    <dataValidation type="list" allowBlank="1" showInputMessage="1" showErrorMessage="1" prompt="Select level of awarness" sqref="F65:G65 R65:S65 N65:O65 J65:K65" xr:uid="{00000000-0002-0000-0700-000027000000}">
      <formula1>$G$155:$G$159</formula1>
    </dataValidation>
    <dataValidation type="list" allowBlank="1" showInputMessage="1" showErrorMessage="1" prompt="Select scale" sqref="G59 S59 K59 O59" xr:uid="{00000000-0002-0000-07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700-000029000000}">
      <formula1>$D$151:$D$153</formula1>
    </dataValidation>
    <dataValidation type="list" allowBlank="1" showInputMessage="1" showErrorMessage="1" prompt="Select capacity level" sqref="G54 S54 K54 O54" xr:uid="{00000000-0002-0000-07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700-00002B000000}">
      <formula1>$J$146:$J$154</formula1>
    </dataValidation>
    <dataValidation type="list" allowBlank="1" showInputMessage="1" showErrorMessage="1" sqref="I126 O112 K77 I77 G77 K126 M126 Q77 S77 E126 O126 F112 G126 S112 O77 M77 K112 S126 Q126" xr:uid="{00000000-0002-0000-0700-00002C000000}">
      <formula1>group</formula1>
    </dataValidation>
    <dataValidation type="list" allowBlank="1" showInputMessage="1" showErrorMessage="1" sqref="B66" xr:uid="{00000000-0002-0000-07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7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700-000030000000}">
      <formula1>$D$135:$D$142</formula1>
    </dataValidation>
    <dataValidation type="list" allowBlank="1" showInputMessage="1" showErrorMessage="1" prompt="Select type" sqref="F57:G57 P59 L59 H59 D59 R57:S57 N57:O57 J57:K57" xr:uid="{00000000-0002-0000-0700-000031000000}">
      <formula1>$D$147:$D$149</formula1>
    </dataValidation>
    <dataValidation type="list" allowBlank="1" showInputMessage="1" showErrorMessage="1" sqref="E78:F83 I78:J83 M78:N83 Q78:R83" xr:uid="{00000000-0002-0000-0700-000032000000}">
      <formula1>type1</formula1>
    </dataValidation>
    <dataValidation type="list" allowBlank="1" showInputMessage="1" showErrorMessage="1" prompt="Select level of improvements" sqref="D87:E87 P87 L87 H87" xr:uid="{00000000-0002-0000-0700-000033000000}">
      <formula1>$K$155:$K$159</formula1>
    </dataValidation>
    <dataValidation type="list" allowBlank="1" showInputMessage="1" showErrorMessage="1" prompt="Select type" sqref="G87 O87 S87 K87" xr:uid="{00000000-0002-0000-07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7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700-000036000000}">
      <formula1>$H$150:$H$154</formula1>
    </dataValidation>
    <dataValidation type="list" allowBlank="1" showInputMessage="1" showErrorMessage="1" prompt="Select adaptation strategy" sqref="G113 S113 O113 K113" xr:uid="{00000000-0002-0000-0700-000037000000}">
      <formula1>$I$161:$I$177</formula1>
    </dataValidation>
    <dataValidation type="list" allowBlank="1" showInputMessage="1" showErrorMessage="1" prompt="Select integration level" sqref="D125:S125" xr:uid="{00000000-0002-0000-0700-000038000000}">
      <formula1>$H$143:$H$147</formula1>
    </dataValidation>
    <dataValidation type="list" allowBlank="1" showInputMessage="1" showErrorMessage="1" prompt="Select state of enforcement" sqref="E129:F129 Q129:R129 M129:N129 I129:J129" xr:uid="{00000000-0002-0000-0700-000039000000}">
      <formula1>$I$136:$I$140</formula1>
    </dataValidation>
    <dataValidation type="list" allowBlank="1" showInputMessage="1" showErrorMessage="1" error="Please select the from the drop-down list_x000a_" prompt="Please select from the drop-down list" sqref="C17" xr:uid="{00000000-0002-0000-0700-00003A000000}">
      <formula1>$J$147:$J$154</formula1>
    </dataValidation>
    <dataValidation type="list" allowBlank="1" showInputMessage="1" showErrorMessage="1" error="Please select from the drop-down list" prompt="Please select from the drop-down list" sqref="C14" xr:uid="{00000000-0002-0000-0700-00003B000000}">
      <formula1>$C$156:$C$158</formula1>
    </dataValidation>
    <dataValidation type="list" allowBlank="1" showInputMessage="1" showErrorMessage="1" error="Select from the drop-down list" prompt="Select from the drop-down list" sqref="C16" xr:uid="{00000000-0002-0000-0700-00003C000000}">
      <formula1>$B$156:$B$159</formula1>
    </dataValidation>
    <dataValidation type="list" allowBlank="1" showInputMessage="1" showErrorMessage="1" error="Select from the drop-down list" prompt="Select from the drop-down list" sqref="C15" xr:uid="{00000000-0002-0000-0700-00003D000000}">
      <formula1>$B$162:$B$320</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K27:K28 O27:O28 S27:S28" xr:uid="{00000000-0002-0000-0700-000040000000}">
      <formula1>$K$155:$K$159</formula1>
    </dataValidation>
  </dataValidations>
  <pageMargins left="0.7" right="0.7" top="0.75" bottom="0.75" header="0.3" footer="0.3"/>
  <pageSetup paperSize="8" scale="34"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E2" sqref="E2"/>
    </sheetView>
  </sheetViews>
  <sheetFormatPr defaultRowHeight="14.5" x14ac:dyDescent="0.35"/>
  <cols>
    <col min="1" max="1" width="2.36328125" customWidth="1"/>
    <col min="2" max="2" width="109.26953125" customWidth="1"/>
    <col min="3" max="3" width="2.36328125" customWidth="1"/>
  </cols>
  <sheetData>
    <row r="1" spans="2:2" ht="15.5" thickBot="1" x14ac:dyDescent="0.4">
      <c r="B1" s="1" t="s">
        <v>243</v>
      </c>
    </row>
    <row r="2" spans="2:2" ht="372.5" thickBot="1" x14ac:dyDescent="0.4">
      <c r="B2" s="605" t="s">
        <v>1020</v>
      </c>
    </row>
    <row r="3" spans="2:2" ht="15.5" thickBot="1" x14ac:dyDescent="0.4">
      <c r="B3" s="1" t="s">
        <v>244</v>
      </c>
    </row>
    <row r="4" spans="2:2" ht="310.5" thickBot="1" x14ac:dyDescent="0.4">
      <c r="B4" s="606" t="s">
        <v>1021</v>
      </c>
    </row>
  </sheetData>
  <pageMargins left="0.41"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33</ProjectId>
    <ReportingPeriod xmlns="dc9b7735-1e97-4a24-b7a2-47bf824ab39e" xsi:nil="true"/>
    <WBDocsDocURL xmlns="dc9b7735-1e97-4a24-b7a2-47bf824ab39e">http://wbdocsservices.worldbank.org/services?I4_SERVICE=VC&amp;I4_KEY=TF069013&amp;I4_DOCID=090224b086168fec</WBDocsDocURL>
    <WBDocsDocURLPublicOnly xmlns="dc9b7735-1e97-4a24-b7a2-47bf824ab39e">http://pubdocs.worldbank.org/en/601101538084197462/33-WEB-PPR-Resubmission-IND-NIE-AGRI-31-5-17.xlsx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FBCDD26-3015-4500-90A6-5B7A9D16F7B3}"/>
</file>

<file path=customXml/itemProps2.xml><?xml version="1.0" encoding="utf-8"?>
<ds:datastoreItem xmlns:ds="http://schemas.openxmlformats.org/officeDocument/2006/customXml" ds:itemID="{8F5145FF-1A45-4E94-9E6B-4AAAB210FF85}"/>
</file>

<file path=customXml/itemProps3.xml><?xml version="1.0" encoding="utf-8"?>
<ds:datastoreItem xmlns:ds="http://schemas.openxmlformats.org/officeDocument/2006/customXml" ds:itemID="{658A5D91-7287-409F-B0E8-7F83A336AA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FinancialData</vt:lpstr>
      <vt:lpstr>Procurement</vt:lpstr>
      <vt:lpstr>Risk Assesment </vt:lpstr>
      <vt:lpstr>Rating</vt:lpstr>
      <vt:lpstr>Project Indicators</vt:lpstr>
      <vt:lpstr>Lessons Learned </vt:lpstr>
      <vt:lpstr>Result Tracker (New Format)</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2017-08-28T06:13:18Z</cp:lastPrinted>
  <dcterms:created xsi:type="dcterms:W3CDTF">2010-11-30T14:15:01Z</dcterms:created>
  <dcterms:modified xsi:type="dcterms:W3CDTF">2018-09-21T01:31:24Z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8602daae-4394-45c7-b912-0c99bcc17980,4;8602daae-4394-45c7-b912-0c99bcc17980,6;8602daae-4394-45c7-b912-0c99bcc17980,8;8602daae-4394-45c7-b912-0c99bcc17980,10;8602daae-4394-45c7-b912-0c99bcc17980,12;8602daae-4394-45c7-b912-0c99bcc17980,14;8602daae-4394-45c7-b912-0c99bcc17980,16;</vt:lpwstr>
  </property>
</Properties>
</file>